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ink/ink1.xml" ContentType="application/inkml+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66925"/>
  <mc:AlternateContent xmlns:mc="http://schemas.openxmlformats.org/markup-compatibility/2006">
    <mc:Choice Requires="x15">
      <x15ac:absPath xmlns:x15ac="http://schemas.microsoft.com/office/spreadsheetml/2010/11/ac" url="https://compasshealthnz.sharepoint.com/sites/DevelopmentDeliveryofProgrammes/Shared Documents/HCH National Collaborative/1 WorkPlans and Workstreams/Covid-19/"/>
    </mc:Choice>
  </mc:AlternateContent>
  <xr:revisionPtr revIDLastSave="1" documentId="8_{363CD052-C69D-42CF-9A66-A1DEF654049E}" xr6:coauthVersionLast="44" xr6:coauthVersionMax="44" xr10:uidLastSave="{09727958-C6D6-4366-AF59-26FCD833FD11}"/>
  <bookViews>
    <workbookView xWindow="-110" yWindow="-110" windowWidth="19420" windowHeight="10420" tabRatio="879" firstSheet="2" xr2:uid="{00000000-000D-0000-FFFF-FFFF00000000}"/>
  </bookViews>
  <sheets>
    <sheet name="Summary to Present" sheetId="31" r:id="rId1"/>
    <sheet name="Summary" sheetId="5" r:id="rId2"/>
    <sheet name="Projection" sheetId="25" r:id="rId3"/>
    <sheet name="Master Data" sheetId="2" r:id="rId4"/>
    <sheet name="GP Triage" sheetId="1" r:id="rId5"/>
    <sheet name="Huddles" sheetId="7" r:id="rId6"/>
    <sheet name="MDT" sheetId="8" r:id="rId7"/>
    <sheet name="HCA" sheetId="4" r:id="rId8"/>
    <sheet name="Patient Portal" sheetId="3" r:id="rId9"/>
    <sheet name="YOC" sheetId="30" r:id="rId10"/>
    <sheet name="Call Management" sheetId="9" r:id="rId11"/>
    <sheet name="Extended Hours" sheetId="11" r:id="rId12"/>
    <sheet name="Other" sheetId="28" r:id="rId13"/>
    <sheet name="Sheet1" sheetId="32" r:id="rId14"/>
  </sheets>
  <definedNames>
    <definedName name="Admin_FTE">'Master Data'!$C$12</definedName>
    <definedName name="Annual_FTE_hours">'Master Data'!$C$13</definedName>
    <definedName name="Average_GP_Revenue">'Master Data'!$F$5</definedName>
    <definedName name="Average_Nurse_Revenue">'Master Data'!$F$10</definedName>
    <definedName name="Care_plan_annual_assessment" localSheetId="9">#REF!</definedName>
    <definedName name="Care_plan_annual_assessment">#REF!</definedName>
    <definedName name="care_plan_nurse_consults" localSheetId="9">#REF!</definedName>
    <definedName name="care_plan_nurse_consults">#REF!</definedName>
    <definedName name="Care_plan_patients" localSheetId="9">#REF!</definedName>
    <definedName name="Care_plan_patients">#REF!</definedName>
    <definedName name="Consult_Consumables_Cost" localSheetId="9">'Master Data'!#REF!</definedName>
    <definedName name="Consult_Consumables_Cost">'Master Data'!#REF!</definedName>
    <definedName name="Enrolled_patients">'Master Data'!$C$16</definedName>
    <definedName name="GP_Consult_Length">'Master Data'!$C$8</definedName>
    <definedName name="GP_FTE">'Master Data'!$C$10</definedName>
    <definedName name="GP_phone_consult_length">'GP Triage'!$C$7</definedName>
    <definedName name="GP_Triage_Adoption_Rate">'GP Triage'!$G$3</definedName>
    <definedName name="GP_triage_Call_Length">'GP Triage'!$C$6</definedName>
    <definedName name="GP_triage_consult_recovery" localSheetId="12">'GP Triage'!#REF!</definedName>
    <definedName name="GP_triage_consult_recovery" localSheetId="9">'GP Triage'!#REF!</definedName>
    <definedName name="GP_triage_consult_recovery">'GP Triage'!#REF!</definedName>
    <definedName name="GP_triage_Session">'GP Triage'!$C$5</definedName>
    <definedName name="HCH_Code_Groups" localSheetId="12">#REF!</definedName>
    <definedName name="HCH_Code_Groups" localSheetId="9">#REF!</definedName>
    <definedName name="HCH_Code_Groups">#REF!</definedName>
    <definedName name="Nurse_Consult_Length">'Master Data'!$C$9</definedName>
    <definedName name="Nurse_FTE">'Master Data'!$C$11</definedName>
    <definedName name="PLACTIVITY">'Master Data'!$L$21:$L$22</definedName>
    <definedName name="PLTYPE">'Master Data'!$L$4:$L$12</definedName>
    <definedName name="revenue_allocation" localSheetId="12">#REF!</definedName>
    <definedName name="revenue_allocation" localSheetId="9">#REF!</definedName>
    <definedName name="revenue_allocation">#REF!</definedName>
    <definedName name="Total_overhead_movement" localSheetId="12">Summary!#REF!</definedName>
    <definedName name="Total_overhead_movement" localSheetId="9">Summary!#REF!</definedName>
    <definedName name="Total_overhead_movement">Summary!#REF!</definedName>
    <definedName name="YesNo" localSheetId="12">Summary!#REF!</definedName>
    <definedName name="YesNo" localSheetId="9">Summary!#REF!</definedName>
    <definedName name="YesNo">Summary!#REF!</definedName>
    <definedName name="YOC_Include">YOC!$C$15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35" i="5" l="1"/>
  <c r="F11" i="7"/>
  <c r="I8" i="25" l="1"/>
  <c r="J8" i="25"/>
  <c r="K8" i="25"/>
  <c r="L8" i="25"/>
  <c r="M8" i="25"/>
  <c r="N8" i="25"/>
  <c r="O8" i="25"/>
  <c r="P8" i="25"/>
  <c r="Q8" i="25"/>
  <c r="R8" i="25"/>
  <c r="S8" i="25"/>
  <c r="T8" i="25"/>
  <c r="U8" i="25"/>
  <c r="V8" i="25"/>
  <c r="W8" i="25"/>
  <c r="X8" i="25"/>
  <c r="Y8" i="25"/>
  <c r="Z8" i="25"/>
  <c r="AA8" i="25"/>
  <c r="AB8" i="25"/>
  <c r="AC8" i="25"/>
  <c r="AD8" i="25"/>
  <c r="AE8" i="25"/>
  <c r="AF8" i="25"/>
  <c r="AG8" i="25"/>
  <c r="AH8" i="25"/>
  <c r="AI8" i="25"/>
  <c r="AJ8" i="25"/>
  <c r="AK8" i="25"/>
  <c r="AL8" i="25"/>
  <c r="AM8" i="25"/>
  <c r="AN8" i="25"/>
  <c r="AO8" i="25"/>
  <c r="AP8" i="25"/>
  <c r="AQ8" i="25"/>
  <c r="AR8" i="25"/>
  <c r="AS8" i="25"/>
  <c r="AT8" i="25"/>
  <c r="AU8" i="25"/>
  <c r="AV8" i="25"/>
  <c r="AW8" i="25"/>
  <c r="AX8" i="25"/>
  <c r="AY8" i="25"/>
  <c r="AZ8" i="25"/>
  <c r="BA8" i="25"/>
  <c r="BB8" i="25"/>
  <c r="BC8" i="25"/>
  <c r="H8" i="25"/>
  <c r="F17" i="2"/>
  <c r="F16" i="2"/>
  <c r="D18" i="28" l="1"/>
  <c r="G153" i="25" l="1"/>
  <c r="G132" i="25"/>
  <c r="G90" i="25"/>
  <c r="D11" i="28"/>
  <c r="D12" i="28" s="1"/>
  <c r="D22" i="28"/>
  <c r="D23" i="28" s="1"/>
  <c r="G111" i="25" l="1"/>
  <c r="F111" i="25"/>
  <c r="C13" i="30"/>
  <c r="C9" i="4"/>
  <c r="C32" i="8"/>
  <c r="C31" i="8"/>
  <c r="F21" i="8"/>
  <c r="K4" i="1"/>
  <c r="C5" i="2" l="1"/>
  <c r="E18" i="25" l="1"/>
  <c r="C18" i="25"/>
  <c r="E17" i="25"/>
  <c r="C17" i="25"/>
  <c r="C40" i="25" s="1"/>
  <c r="E16" i="25"/>
  <c r="C16" i="25"/>
  <c r="C13" i="25"/>
  <c r="H11" i="28" l="1"/>
  <c r="G46" i="25" s="1"/>
  <c r="F5" i="2" l="1"/>
  <c r="K3" i="1" s="1"/>
  <c r="G11" i="7" l="1"/>
  <c r="E22" i="30"/>
  <c r="E140" i="25"/>
  <c r="H26" i="4"/>
  <c r="C13" i="2" l="1"/>
  <c r="C10" i="4" s="1"/>
  <c r="F10" i="2"/>
  <c r="F17" i="8"/>
  <c r="E14" i="7"/>
  <c r="E13" i="7"/>
  <c r="E12" i="7"/>
  <c r="G9" i="4" l="1"/>
  <c r="F9" i="4" s="1"/>
  <c r="D24" i="28"/>
  <c r="E23" i="30"/>
  <c r="D13" i="28"/>
  <c r="G12" i="7"/>
  <c r="C30" i="8"/>
  <c r="F6" i="8"/>
  <c r="C5" i="9"/>
  <c r="F26" i="4" l="1"/>
  <c r="F27" i="4" s="1"/>
  <c r="G26" i="4"/>
  <c r="I30" i="5"/>
  <c r="E90" i="25" l="1"/>
  <c r="B90" i="25"/>
  <c r="E89" i="25"/>
  <c r="C89" i="25"/>
  <c r="B89" i="25"/>
  <c r="E88" i="25"/>
  <c r="C88" i="25"/>
  <c r="B88" i="25"/>
  <c r="E87" i="25"/>
  <c r="C87" i="25"/>
  <c r="B87" i="25"/>
  <c r="F86" i="25"/>
  <c r="B86" i="25"/>
  <c r="E85" i="25"/>
  <c r="C85" i="25"/>
  <c r="B85" i="25"/>
  <c r="F84" i="25"/>
  <c r="E84" i="25"/>
  <c r="C84" i="25"/>
  <c r="B84" i="25"/>
  <c r="F83" i="25"/>
  <c r="E83" i="25"/>
  <c r="C83" i="25"/>
  <c r="B83" i="25"/>
  <c r="E82" i="25"/>
  <c r="C82" i="25"/>
  <c r="B82" i="25"/>
  <c r="E81" i="25"/>
  <c r="C81" i="25"/>
  <c r="B81" i="25"/>
  <c r="B80" i="25"/>
  <c r="F79" i="25"/>
  <c r="B79" i="25"/>
  <c r="F78" i="25"/>
  <c r="B78" i="25"/>
  <c r="B77" i="25"/>
  <c r="E76" i="25"/>
  <c r="C76" i="25"/>
  <c r="B76" i="25"/>
  <c r="E75" i="25"/>
  <c r="D75" i="25"/>
  <c r="B75" i="25"/>
  <c r="E74" i="25"/>
  <c r="D74" i="25"/>
  <c r="B74" i="25"/>
  <c r="BH73" i="25"/>
  <c r="BG73" i="25"/>
  <c r="BF73" i="25"/>
  <c r="BE73" i="25"/>
  <c r="C12" i="25"/>
  <c r="C79" i="25" s="1"/>
  <c r="E12" i="25"/>
  <c r="E79" i="25" s="1"/>
  <c r="F92" i="25" l="1"/>
  <c r="F8" i="25"/>
  <c r="F7" i="25"/>
  <c r="I7" i="25" l="1"/>
  <c r="M7" i="25"/>
  <c r="Q7" i="25"/>
  <c r="U7" i="25"/>
  <c r="Y7" i="25"/>
  <c r="AC7" i="25"/>
  <c r="AG7" i="25"/>
  <c r="AK7" i="25"/>
  <c r="AO7" i="25"/>
  <c r="AS7" i="25"/>
  <c r="AW7" i="25"/>
  <c r="BA7" i="25"/>
  <c r="H7" i="25"/>
  <c r="J7" i="25"/>
  <c r="N7" i="25"/>
  <c r="R7" i="25"/>
  <c r="V7" i="25"/>
  <c r="Z7" i="25"/>
  <c r="AD7" i="25"/>
  <c r="AH7" i="25"/>
  <c r="AL7" i="25"/>
  <c r="AP7" i="25"/>
  <c r="AT7" i="25"/>
  <c r="AX7" i="25"/>
  <c r="K7" i="25"/>
  <c r="O7" i="25"/>
  <c r="S7" i="25"/>
  <c r="W7" i="25"/>
  <c r="AA7" i="25"/>
  <c r="AE7" i="25"/>
  <c r="AI7" i="25"/>
  <c r="AM7" i="25"/>
  <c r="AQ7" i="25"/>
  <c r="AU7" i="25"/>
  <c r="AY7" i="25"/>
  <c r="BC7" i="25"/>
  <c r="L7" i="25"/>
  <c r="P7" i="25"/>
  <c r="T7" i="25"/>
  <c r="X7" i="25"/>
  <c r="AB7" i="25"/>
  <c r="AF7" i="25"/>
  <c r="AJ7" i="25"/>
  <c r="AN7" i="25"/>
  <c r="AR7" i="25"/>
  <c r="AV7" i="25"/>
  <c r="AZ7" i="25"/>
  <c r="BB7" i="25"/>
  <c r="C7" i="1"/>
  <c r="O3" i="2"/>
  <c r="C2" i="30" l="1"/>
  <c r="C70" i="30"/>
  <c r="F35" i="25" s="1"/>
  <c r="C62" i="30"/>
  <c r="G35" i="25" s="1"/>
  <c r="G10" i="1" l="1"/>
  <c r="C7" i="30"/>
  <c r="C35" i="1" l="1"/>
  <c r="C37" i="1" s="1"/>
  <c r="C9" i="30"/>
  <c r="C10" i="30"/>
  <c r="D47" i="30" l="1"/>
  <c r="C47" i="30"/>
  <c r="E49" i="30"/>
  <c r="D31" i="30"/>
  <c r="E33" i="30"/>
  <c r="C31" i="30"/>
  <c r="C53" i="30" l="1"/>
  <c r="C48" i="30"/>
  <c r="C49" i="30" s="1"/>
  <c r="E54" i="30"/>
  <c r="D53" i="30"/>
  <c r="F100" i="25" s="1"/>
  <c r="D48" i="30"/>
  <c r="D49" i="30" s="1"/>
  <c r="D32" i="30"/>
  <c r="D33" i="30" s="1"/>
  <c r="D54" i="30" s="1"/>
  <c r="F58" i="25"/>
  <c r="C32" i="30"/>
  <c r="C33" i="30" s="1"/>
  <c r="F33" i="30" l="1"/>
  <c r="C54" i="30"/>
  <c r="D32" i="25"/>
  <c r="D55" i="25" s="1"/>
  <c r="D33" i="25"/>
  <c r="D56" i="25" s="1"/>
  <c r="D34" i="25"/>
  <c r="D57" i="25" s="1"/>
  <c r="D35" i="25"/>
  <c r="D58" i="25" s="1"/>
  <c r="D36" i="25"/>
  <c r="D59" i="25" s="1"/>
  <c r="D37" i="25"/>
  <c r="D60" i="25" s="1"/>
  <c r="D38" i="25"/>
  <c r="D61" i="25" s="1"/>
  <c r="D39" i="25"/>
  <c r="D62" i="25" s="1"/>
  <c r="D40" i="25"/>
  <c r="D63" i="25" s="1"/>
  <c r="D41" i="25"/>
  <c r="D64" i="25" s="1"/>
  <c r="D42" i="25"/>
  <c r="D65" i="25" s="1"/>
  <c r="D43" i="25"/>
  <c r="D66" i="25" s="1"/>
  <c r="D44" i="25"/>
  <c r="D67" i="25" s="1"/>
  <c r="D45" i="25"/>
  <c r="D68" i="25" s="1"/>
  <c r="D110" i="25" s="1"/>
  <c r="D131" i="25" s="1"/>
  <c r="D152" i="25" s="1"/>
  <c r="C23" i="25"/>
  <c r="C35" i="25"/>
  <c r="C36" i="25"/>
  <c r="C37" i="25"/>
  <c r="C38" i="25"/>
  <c r="C39" i="25"/>
  <c r="C32" i="25"/>
  <c r="E13" i="25"/>
  <c r="E80" i="25" s="1"/>
  <c r="C80" i="25"/>
  <c r="E10" i="25"/>
  <c r="C10" i="25"/>
  <c r="C28" i="11"/>
  <c r="C20" i="11"/>
  <c r="G36" i="25" s="1"/>
  <c r="E36" i="25"/>
  <c r="D102" i="25" l="1"/>
  <c r="D123" i="25" s="1"/>
  <c r="D144" i="25" s="1"/>
  <c r="D83" i="25"/>
  <c r="C33" i="25"/>
  <c r="C77" i="25"/>
  <c r="D106" i="25"/>
  <c r="D127" i="25" s="1"/>
  <c r="D148" i="25" s="1"/>
  <c r="D87" i="25"/>
  <c r="D98" i="25"/>
  <c r="D119" i="25" s="1"/>
  <c r="D140" i="25" s="1"/>
  <c r="D79" i="25"/>
  <c r="D109" i="25"/>
  <c r="D130" i="25" s="1"/>
  <c r="D151" i="25" s="1"/>
  <c r="D90" i="25"/>
  <c r="D105" i="25"/>
  <c r="D126" i="25" s="1"/>
  <c r="D147" i="25" s="1"/>
  <c r="D86" i="25"/>
  <c r="D101" i="25"/>
  <c r="D122" i="25" s="1"/>
  <c r="D143" i="25" s="1"/>
  <c r="D82" i="25"/>
  <c r="D97" i="25"/>
  <c r="D118" i="25" s="1"/>
  <c r="D139" i="25" s="1"/>
  <c r="D78" i="25"/>
  <c r="D108" i="25"/>
  <c r="D129" i="25" s="1"/>
  <c r="D150" i="25" s="1"/>
  <c r="D89" i="25"/>
  <c r="D104" i="25"/>
  <c r="D125" i="25" s="1"/>
  <c r="D146" i="25" s="1"/>
  <c r="D85" i="25"/>
  <c r="D100" i="25"/>
  <c r="D121" i="25" s="1"/>
  <c r="D142" i="25" s="1"/>
  <c r="D81" i="25"/>
  <c r="E33" i="25"/>
  <c r="E77" i="25"/>
  <c r="C46" i="25"/>
  <c r="C90" i="25"/>
  <c r="D107" i="25"/>
  <c r="D128" i="25" s="1"/>
  <c r="D149" i="25" s="1"/>
  <c r="D88" i="25"/>
  <c r="D103" i="25"/>
  <c r="D124" i="25" s="1"/>
  <c r="D145" i="25" s="1"/>
  <c r="D84" i="25"/>
  <c r="D99" i="25"/>
  <c r="D120" i="25" s="1"/>
  <c r="D141" i="25" s="1"/>
  <c r="D80" i="25"/>
  <c r="C140" i="25"/>
  <c r="D23" i="25"/>
  <c r="D46" i="25" s="1"/>
  <c r="D69" i="25" s="1"/>
  <c r="D111" i="25" s="1"/>
  <c r="D132" i="25" s="1"/>
  <c r="D153" i="25" s="1"/>
  <c r="H4" i="25"/>
  <c r="F18" i="9"/>
  <c r="F33" i="25" s="1"/>
  <c r="F10" i="9"/>
  <c r="G33" i="25" s="1"/>
  <c r="C32" i="3"/>
  <c r="F42" i="25" s="1"/>
  <c r="C24" i="3"/>
  <c r="G42" i="25" s="1"/>
  <c r="C10" i="2"/>
  <c r="C18" i="28" l="1"/>
  <c r="E11" i="7"/>
  <c r="C17" i="8"/>
  <c r="H73" i="25"/>
  <c r="B31" i="5"/>
  <c r="C29" i="8" l="1"/>
  <c r="F5" i="8"/>
  <c r="C22" i="28"/>
  <c r="C11" i="28"/>
  <c r="G69" i="25" s="1"/>
  <c r="L43" i="5"/>
  <c r="E5" i="11" s="1"/>
  <c r="E6" i="11" s="1"/>
  <c r="F69" i="25" l="1"/>
  <c r="C23" i="28"/>
  <c r="H11" i="7"/>
  <c r="C24" i="7"/>
  <c r="C12" i="28"/>
  <c r="C13" i="28" s="1"/>
  <c r="G23" i="25" s="1"/>
  <c r="C24" i="28"/>
  <c r="F23" i="25" s="1"/>
  <c r="P43" i="5"/>
  <c r="T43" i="5" s="1"/>
  <c r="X43" i="5" s="1"/>
  <c r="I26" i="5"/>
  <c r="I27" i="5"/>
  <c r="I28" i="5"/>
  <c r="I29" i="5"/>
  <c r="I31" i="5"/>
  <c r="I32" i="5"/>
  <c r="I33" i="5"/>
  <c r="I34" i="5"/>
  <c r="I35" i="5"/>
  <c r="I36" i="5"/>
  <c r="I37" i="5"/>
  <c r="I38" i="5"/>
  <c r="I39" i="5"/>
  <c r="I40" i="5"/>
  <c r="I41" i="5"/>
  <c r="I25" i="5"/>
  <c r="I4" i="5"/>
  <c r="I20" i="5"/>
  <c r="O22" i="2"/>
  <c r="C8" i="11" s="1"/>
  <c r="O4" i="2"/>
  <c r="C5" i="5" s="1"/>
  <c r="O10" i="2"/>
  <c r="O30" i="2"/>
  <c r="C23" i="5" s="1"/>
  <c r="O29" i="2"/>
  <c r="C22" i="5" s="1"/>
  <c r="O21" i="2"/>
  <c r="M43" i="5" s="1"/>
  <c r="F5" i="11" s="1"/>
  <c r="F6" i="11" s="1"/>
  <c r="O20" i="2"/>
  <c r="O11" i="2"/>
  <c r="K43" i="5" s="1"/>
  <c r="D5" i="11" s="1"/>
  <c r="D6" i="11" s="1"/>
  <c r="O8" i="2"/>
  <c r="O24" i="2"/>
  <c r="I16" i="5"/>
  <c r="I17" i="5"/>
  <c r="I18" i="5"/>
  <c r="I19" i="5"/>
  <c r="I5" i="5"/>
  <c r="I6" i="5"/>
  <c r="I7" i="5"/>
  <c r="I8" i="5"/>
  <c r="I9" i="5"/>
  <c r="I10" i="5"/>
  <c r="I11" i="5"/>
  <c r="I12" i="5"/>
  <c r="I13" i="5"/>
  <c r="I14" i="5"/>
  <c r="I15" i="5"/>
  <c r="C9" i="5" l="1"/>
  <c r="J43" i="5"/>
  <c r="C11" i="5"/>
  <c r="D11" i="5" s="1"/>
  <c r="E11" i="5" s="1"/>
  <c r="C12" i="5"/>
  <c r="O43" i="5"/>
  <c r="S43" i="5" s="1"/>
  <c r="W43" i="5" s="1"/>
  <c r="O23" i="2"/>
  <c r="O25" i="2" s="1"/>
  <c r="C18" i="5" s="1"/>
  <c r="O12" i="2"/>
  <c r="O14" i="2" l="1"/>
  <c r="C5" i="11"/>
  <c r="C6" i="11" s="1"/>
  <c r="H19" i="28"/>
  <c r="F46" i="25" s="1"/>
  <c r="N43" i="5"/>
  <c r="Q43" i="5"/>
  <c r="U43" i="5" s="1"/>
  <c r="Y43" i="5" s="1"/>
  <c r="O5" i="2"/>
  <c r="C4" i="5"/>
  <c r="O16" i="2" l="1"/>
  <c r="O27" i="2" s="1"/>
  <c r="O32" i="2" s="1"/>
  <c r="F36" i="25"/>
  <c r="R43" i="5"/>
  <c r="V43" i="5" l="1"/>
  <c r="D23" i="5"/>
  <c r="E23" i="5" s="1"/>
  <c r="D22" i="5"/>
  <c r="E22" i="5" s="1"/>
  <c r="F22" i="5" s="1"/>
  <c r="C13" i="5"/>
  <c r="D12" i="5"/>
  <c r="E12" i="5" s="1"/>
  <c r="F12" i="5" s="1"/>
  <c r="G12" i="5" s="1"/>
  <c r="F11" i="5"/>
  <c r="G11" i="5" s="1"/>
  <c r="BH136" i="25"/>
  <c r="BG136" i="25"/>
  <c r="BF136" i="25"/>
  <c r="BE136" i="25"/>
  <c r="BH115" i="25"/>
  <c r="BG115" i="25"/>
  <c r="BF115" i="25"/>
  <c r="BE115" i="25"/>
  <c r="BH94" i="25"/>
  <c r="BG94" i="25"/>
  <c r="BF94" i="25"/>
  <c r="BE94" i="25"/>
  <c r="BH52" i="25"/>
  <c r="BG52" i="25"/>
  <c r="BF52" i="25"/>
  <c r="BE52" i="25"/>
  <c r="BH29" i="25"/>
  <c r="BG29" i="25"/>
  <c r="BF29" i="25"/>
  <c r="BE29" i="25"/>
  <c r="BF6" i="25"/>
  <c r="BG6" i="25"/>
  <c r="BH6" i="25"/>
  <c r="BE6" i="25"/>
  <c r="D8" i="25"/>
  <c r="D31" i="25" s="1"/>
  <c r="D54" i="25" s="1"/>
  <c r="D7" i="25"/>
  <c r="C35" i="4"/>
  <c r="C36" i="4" s="1"/>
  <c r="F18" i="25" s="1"/>
  <c r="H27" i="4"/>
  <c r="G27" i="4"/>
  <c r="G29" i="4" s="1"/>
  <c r="F146" i="25"/>
  <c r="F125" i="25"/>
  <c r="F104" i="25"/>
  <c r="F62" i="25"/>
  <c r="F13" i="7"/>
  <c r="C26" i="7" s="1"/>
  <c r="F126" i="25" s="1"/>
  <c r="F12" i="7"/>
  <c r="H12" i="7" s="1"/>
  <c r="F63" i="25"/>
  <c r="E153" i="25"/>
  <c r="C153" i="25"/>
  <c r="B153" i="25"/>
  <c r="E152" i="25"/>
  <c r="C152" i="25"/>
  <c r="B152" i="25"/>
  <c r="E151" i="25"/>
  <c r="C151" i="25"/>
  <c r="B151" i="25"/>
  <c r="E150" i="25"/>
  <c r="C150" i="25"/>
  <c r="B150" i="25"/>
  <c r="B149" i="25"/>
  <c r="E148" i="25"/>
  <c r="C148" i="25"/>
  <c r="B148" i="25"/>
  <c r="E147" i="25"/>
  <c r="C147" i="25"/>
  <c r="B147" i="25"/>
  <c r="E146" i="25"/>
  <c r="B146" i="25"/>
  <c r="E145" i="25"/>
  <c r="C145" i="25"/>
  <c r="B145" i="25"/>
  <c r="E144" i="25"/>
  <c r="C144" i="25"/>
  <c r="B144" i="25"/>
  <c r="E143" i="25"/>
  <c r="C143" i="25"/>
  <c r="B143" i="25"/>
  <c r="E142" i="25"/>
  <c r="C142" i="25"/>
  <c r="B142" i="25"/>
  <c r="B141" i="25"/>
  <c r="B140" i="25"/>
  <c r="E139" i="25"/>
  <c r="C139" i="25"/>
  <c r="B139" i="25"/>
  <c r="E138" i="25"/>
  <c r="B138" i="25"/>
  <c r="E137" i="25"/>
  <c r="B137" i="25"/>
  <c r="E132" i="25"/>
  <c r="E155" i="25" s="1"/>
  <c r="C132" i="25"/>
  <c r="B132" i="25"/>
  <c r="E131" i="25"/>
  <c r="C131" i="25"/>
  <c r="B131" i="25"/>
  <c r="E130" i="25"/>
  <c r="C130" i="25"/>
  <c r="B130" i="25"/>
  <c r="E129" i="25"/>
  <c r="C129" i="25"/>
  <c r="B129" i="25"/>
  <c r="B128" i="25"/>
  <c r="E127" i="25"/>
  <c r="C127" i="25"/>
  <c r="B127" i="25"/>
  <c r="E126" i="25"/>
  <c r="C126" i="25"/>
  <c r="B126" i="25"/>
  <c r="E125" i="25"/>
  <c r="B125" i="25"/>
  <c r="E124" i="25"/>
  <c r="C124" i="25"/>
  <c r="B124" i="25"/>
  <c r="E123" i="25"/>
  <c r="C123" i="25"/>
  <c r="B123" i="25"/>
  <c r="E122" i="25"/>
  <c r="C122" i="25"/>
  <c r="B122" i="25"/>
  <c r="E121" i="25"/>
  <c r="C121" i="25"/>
  <c r="B121" i="25"/>
  <c r="B120" i="25"/>
  <c r="E119" i="25"/>
  <c r="C119" i="25"/>
  <c r="B119" i="25"/>
  <c r="E118" i="25"/>
  <c r="C118" i="25"/>
  <c r="B118" i="25"/>
  <c r="E117" i="25"/>
  <c r="B117" i="25"/>
  <c r="E116" i="25"/>
  <c r="B116" i="25"/>
  <c r="E111" i="25"/>
  <c r="C111" i="25"/>
  <c r="B111" i="25"/>
  <c r="E110" i="25"/>
  <c r="C110" i="25"/>
  <c r="B110" i="25"/>
  <c r="E109" i="25"/>
  <c r="C109" i="25"/>
  <c r="B109" i="25"/>
  <c r="E108" i="25"/>
  <c r="C108" i="25"/>
  <c r="B108" i="25"/>
  <c r="B107" i="25"/>
  <c r="E106" i="25"/>
  <c r="C106" i="25"/>
  <c r="B106" i="25"/>
  <c r="E105" i="25"/>
  <c r="C105" i="25"/>
  <c r="B105" i="25"/>
  <c r="E104" i="25"/>
  <c r="B104" i="25"/>
  <c r="E103" i="25"/>
  <c r="C103" i="25"/>
  <c r="B103" i="25"/>
  <c r="E102" i="25"/>
  <c r="C102" i="25"/>
  <c r="B102" i="25"/>
  <c r="E101" i="25"/>
  <c r="C101" i="25"/>
  <c r="B101" i="25"/>
  <c r="E100" i="25"/>
  <c r="C100" i="25"/>
  <c r="B100" i="25"/>
  <c r="B99" i="25"/>
  <c r="E98" i="25"/>
  <c r="C98" i="25"/>
  <c r="B98" i="25"/>
  <c r="E97" i="25"/>
  <c r="C97" i="25"/>
  <c r="B97" i="25"/>
  <c r="E96" i="25"/>
  <c r="B96" i="25"/>
  <c r="E95" i="25"/>
  <c r="B95" i="25"/>
  <c r="E69" i="25"/>
  <c r="E92" i="25" s="1"/>
  <c r="C69" i="25"/>
  <c r="C92" i="25" s="1"/>
  <c r="B69" i="25"/>
  <c r="E68" i="25"/>
  <c r="C68" i="25"/>
  <c r="B68" i="25"/>
  <c r="E67" i="25"/>
  <c r="C67" i="25"/>
  <c r="B67" i="25"/>
  <c r="E66" i="25"/>
  <c r="C66" i="25"/>
  <c r="B66" i="25"/>
  <c r="B65" i="25"/>
  <c r="E64" i="25"/>
  <c r="C64" i="25"/>
  <c r="B64" i="25"/>
  <c r="E63" i="25"/>
  <c r="C63" i="25"/>
  <c r="B63" i="25"/>
  <c r="E62" i="25"/>
  <c r="B62" i="25"/>
  <c r="E61" i="25"/>
  <c r="C61" i="25"/>
  <c r="B61" i="25"/>
  <c r="E60" i="25"/>
  <c r="C60" i="25"/>
  <c r="B60" i="25"/>
  <c r="E59" i="25"/>
  <c r="C59" i="25"/>
  <c r="B59" i="25"/>
  <c r="E58" i="25"/>
  <c r="C58" i="25"/>
  <c r="B58" i="25"/>
  <c r="B57" i="25"/>
  <c r="E56" i="25"/>
  <c r="C56" i="25"/>
  <c r="B56" i="25"/>
  <c r="E55" i="25"/>
  <c r="C55" i="25"/>
  <c r="B55" i="25"/>
  <c r="E54" i="25"/>
  <c r="B54" i="25"/>
  <c r="E53" i="25"/>
  <c r="B53" i="25"/>
  <c r="E46" i="25"/>
  <c r="E45" i="25"/>
  <c r="E44" i="25"/>
  <c r="E43" i="25"/>
  <c r="E41" i="25"/>
  <c r="E40" i="25"/>
  <c r="E38" i="25"/>
  <c r="E37" i="25"/>
  <c r="E35" i="25"/>
  <c r="E32" i="25"/>
  <c r="E31" i="25"/>
  <c r="E30" i="25"/>
  <c r="C45" i="25"/>
  <c r="C44" i="25"/>
  <c r="C43" i="25"/>
  <c r="C41" i="25"/>
  <c r="B46" i="25"/>
  <c r="B45" i="25"/>
  <c r="B44" i="25"/>
  <c r="B43" i="25"/>
  <c r="B42" i="25"/>
  <c r="B41" i="25"/>
  <c r="B40" i="25"/>
  <c r="B39" i="25"/>
  <c r="B38" i="25"/>
  <c r="B37" i="25"/>
  <c r="B36" i="25"/>
  <c r="B35" i="25"/>
  <c r="B34" i="25"/>
  <c r="B33" i="25"/>
  <c r="B32" i="25"/>
  <c r="B31" i="25"/>
  <c r="B30" i="25"/>
  <c r="E113" i="25"/>
  <c r="D30" i="25" l="1"/>
  <c r="D53" i="25" s="1"/>
  <c r="D95" i="25" s="1"/>
  <c r="D116" i="25" s="1"/>
  <c r="D137" i="25" s="1"/>
  <c r="F106" i="25"/>
  <c r="C25" i="7"/>
  <c r="F105" i="25" s="1"/>
  <c r="C32" i="4"/>
  <c r="D96" i="25"/>
  <c r="D117" i="25" s="1"/>
  <c r="D138" i="25" s="1"/>
  <c r="D77" i="25"/>
  <c r="E134" i="25"/>
  <c r="Y25" i="5"/>
  <c r="P25" i="5"/>
  <c r="K25" i="5"/>
  <c r="Y26" i="5"/>
  <c r="W26" i="5"/>
  <c r="K26" i="5"/>
  <c r="W25" i="5"/>
  <c r="S25" i="5"/>
  <c r="P26" i="5"/>
  <c r="Q25" i="5"/>
  <c r="U25" i="5"/>
  <c r="O25" i="5"/>
  <c r="M25" i="5"/>
  <c r="U26" i="5"/>
  <c r="T26" i="5"/>
  <c r="X26" i="5"/>
  <c r="M26" i="5"/>
  <c r="X25" i="5"/>
  <c r="T25" i="5"/>
  <c r="L25" i="5"/>
  <c r="L26" i="5"/>
  <c r="S26" i="5"/>
  <c r="O26" i="5"/>
  <c r="Q26" i="5"/>
  <c r="J25" i="5"/>
  <c r="J26" i="5"/>
  <c r="N26" i="5"/>
  <c r="N25" i="5"/>
  <c r="R26" i="5"/>
  <c r="V25" i="5"/>
  <c r="V26" i="5"/>
  <c r="R25" i="5"/>
  <c r="C31" i="4"/>
  <c r="D13" i="5"/>
  <c r="F23" i="5"/>
  <c r="G23" i="5" s="1"/>
  <c r="G22" i="5"/>
  <c r="G13" i="5"/>
  <c r="F13" i="5"/>
  <c r="E13" i="5"/>
  <c r="E19" i="25"/>
  <c r="E86" i="25" s="1"/>
  <c r="C19" i="25"/>
  <c r="C86" i="25" s="1"/>
  <c r="C71" i="25"/>
  <c r="E71" i="25"/>
  <c r="C8" i="3"/>
  <c r="C2" i="3"/>
  <c r="G5" i="3"/>
  <c r="G6" i="3"/>
  <c r="G7" i="3"/>
  <c r="G8" i="3"/>
  <c r="G9" i="3"/>
  <c r="G10" i="3"/>
  <c r="G11" i="3"/>
  <c r="G12" i="3"/>
  <c r="G4" i="3"/>
  <c r="D76" i="25" l="1"/>
  <c r="C7" i="3"/>
  <c r="H15" i="3" s="1"/>
  <c r="C33" i="4"/>
  <c r="C149" i="25"/>
  <c r="C128" i="25"/>
  <c r="C107" i="25"/>
  <c r="C42" i="25"/>
  <c r="C65" i="25"/>
  <c r="E128" i="25"/>
  <c r="E107" i="25"/>
  <c r="E65" i="25"/>
  <c r="E42" i="25"/>
  <c r="E149" i="25"/>
  <c r="F127" i="25" l="1"/>
  <c r="F134" i="25" s="1"/>
  <c r="I15" i="3"/>
  <c r="I16" i="3" s="1"/>
  <c r="I17" i="3" s="1"/>
  <c r="I19" i="3" s="1"/>
  <c r="I20" i="3" s="1"/>
  <c r="J15" i="3"/>
  <c r="J16" i="3" s="1"/>
  <c r="J17" i="3" s="1"/>
  <c r="J19" i="3" s="1"/>
  <c r="J20" i="3" s="1"/>
  <c r="F149" i="25" s="1"/>
  <c r="H16" i="3"/>
  <c r="C26" i="4"/>
  <c r="F41" i="25"/>
  <c r="F25" i="8"/>
  <c r="F39" i="25" s="1"/>
  <c r="F30" i="25"/>
  <c r="F31" i="25"/>
  <c r="K18" i="7"/>
  <c r="F40" i="25" s="1"/>
  <c r="F14" i="7"/>
  <c r="C27" i="7" s="1"/>
  <c r="F147" i="25" s="1"/>
  <c r="H13" i="7"/>
  <c r="C8" i="25"/>
  <c r="C7" i="25"/>
  <c r="E11" i="25"/>
  <c r="C11" i="25"/>
  <c r="I15" i="1"/>
  <c r="G31" i="1"/>
  <c r="F34" i="25" s="1"/>
  <c r="F107" i="25" l="1"/>
  <c r="I21" i="3"/>
  <c r="C75" i="25"/>
  <c r="H17" i="3"/>
  <c r="H19" i="3" s="1"/>
  <c r="H20" i="3" s="1"/>
  <c r="E34" i="25"/>
  <c r="E78" i="25"/>
  <c r="C34" i="25"/>
  <c r="C78" i="25"/>
  <c r="C30" i="25"/>
  <c r="C74" i="25"/>
  <c r="C62" i="25"/>
  <c r="C146" i="25"/>
  <c r="C125" i="25"/>
  <c r="C104" i="25"/>
  <c r="H52" i="25"/>
  <c r="H136" i="25"/>
  <c r="H29" i="25"/>
  <c r="H6" i="25"/>
  <c r="H94" i="25"/>
  <c r="H115" i="25"/>
  <c r="C117" i="25"/>
  <c r="C96" i="25"/>
  <c r="C54" i="25"/>
  <c r="C138" i="25"/>
  <c r="C31" i="25"/>
  <c r="H31" i="25" s="1"/>
  <c r="C95" i="25"/>
  <c r="C137" i="25"/>
  <c r="C53" i="25"/>
  <c r="C116" i="25"/>
  <c r="H14" i="7"/>
  <c r="E120" i="25"/>
  <c r="E99" i="25"/>
  <c r="E141" i="25"/>
  <c r="E57" i="25"/>
  <c r="C99" i="25"/>
  <c r="C57" i="25"/>
  <c r="C120" i="25"/>
  <c r="C141" i="25"/>
  <c r="H2" i="25"/>
  <c r="H3" i="25"/>
  <c r="I4" i="25"/>
  <c r="F65" i="25" l="1"/>
  <c r="H21" i="3"/>
  <c r="F19" i="25" s="1"/>
  <c r="H19" i="25" s="1"/>
  <c r="H78" i="25"/>
  <c r="I73" i="25"/>
  <c r="H82" i="25"/>
  <c r="H79" i="25"/>
  <c r="H87" i="25"/>
  <c r="H81" i="25"/>
  <c r="H80" i="25"/>
  <c r="H88" i="25"/>
  <c r="H84" i="25"/>
  <c r="H77" i="25"/>
  <c r="H85" i="25"/>
  <c r="H89" i="25"/>
  <c r="H90" i="25"/>
  <c r="H76" i="25"/>
  <c r="H83" i="25"/>
  <c r="H86" i="25"/>
  <c r="H35" i="25"/>
  <c r="H32" i="25"/>
  <c r="H45" i="25"/>
  <c r="H43" i="25"/>
  <c r="H42" i="25"/>
  <c r="H38" i="25"/>
  <c r="H37" i="25"/>
  <c r="H33" i="25"/>
  <c r="H44" i="25"/>
  <c r="H41" i="25"/>
  <c r="H36" i="25"/>
  <c r="H46" i="25"/>
  <c r="H104" i="25"/>
  <c r="H97" i="25"/>
  <c r="H107" i="25"/>
  <c r="H152" i="25"/>
  <c r="H130" i="25"/>
  <c r="H101" i="25"/>
  <c r="H122" i="25"/>
  <c r="H143" i="25"/>
  <c r="H128" i="25"/>
  <c r="H98" i="25"/>
  <c r="H144" i="25"/>
  <c r="H132" i="25"/>
  <c r="I94" i="25"/>
  <c r="I136" i="25"/>
  <c r="I52" i="25"/>
  <c r="I29" i="25"/>
  <c r="I6" i="25"/>
  <c r="I115" i="25"/>
  <c r="H147" i="25"/>
  <c r="H153" i="25"/>
  <c r="H110" i="25"/>
  <c r="H103" i="25"/>
  <c r="H127" i="25"/>
  <c r="H151" i="25"/>
  <c r="H119" i="25"/>
  <c r="H139" i="25"/>
  <c r="H125" i="25"/>
  <c r="H146" i="25"/>
  <c r="H150" i="25"/>
  <c r="H109" i="25"/>
  <c r="H108" i="25"/>
  <c r="H100" i="25"/>
  <c r="H148" i="25"/>
  <c r="H126" i="25"/>
  <c r="H121" i="25"/>
  <c r="H129" i="25"/>
  <c r="H145" i="25"/>
  <c r="H142" i="25"/>
  <c r="H105" i="25"/>
  <c r="H106" i="25"/>
  <c r="H131" i="25"/>
  <c r="H124" i="25"/>
  <c r="H149" i="25"/>
  <c r="H102" i="25"/>
  <c r="H118" i="25"/>
  <c r="H123" i="25"/>
  <c r="H120" i="25"/>
  <c r="H61" i="25"/>
  <c r="H56" i="25"/>
  <c r="H60" i="25"/>
  <c r="H67" i="25"/>
  <c r="H62" i="25"/>
  <c r="H64" i="25"/>
  <c r="H59" i="25"/>
  <c r="H65" i="25"/>
  <c r="H58" i="25"/>
  <c r="I31" i="25"/>
  <c r="H66" i="25"/>
  <c r="H68" i="25"/>
  <c r="H55" i="25"/>
  <c r="H63" i="25"/>
  <c r="H30" i="25"/>
  <c r="H10" i="25"/>
  <c r="H9" i="25"/>
  <c r="H13" i="25"/>
  <c r="H15" i="25"/>
  <c r="H14" i="25"/>
  <c r="H18" i="25"/>
  <c r="H21" i="25"/>
  <c r="H20" i="25"/>
  <c r="H22" i="25"/>
  <c r="J4" i="25"/>
  <c r="I2" i="25"/>
  <c r="I3" i="25"/>
  <c r="I79" i="25" s="1"/>
  <c r="I89" i="25" l="1"/>
  <c r="I88" i="25"/>
  <c r="I85" i="25"/>
  <c r="I90" i="25"/>
  <c r="I83" i="25"/>
  <c r="I77" i="25"/>
  <c r="I84" i="25"/>
  <c r="I82" i="25"/>
  <c r="I81" i="25"/>
  <c r="I86" i="25"/>
  <c r="I80" i="25"/>
  <c r="J73" i="25"/>
  <c r="H92" i="25"/>
  <c r="I87" i="25"/>
  <c r="I76" i="25"/>
  <c r="I78" i="25"/>
  <c r="I46" i="25"/>
  <c r="I43" i="25"/>
  <c r="I36" i="25"/>
  <c r="I42" i="25"/>
  <c r="I38" i="25"/>
  <c r="I33" i="25"/>
  <c r="I45" i="25"/>
  <c r="I41" i="25"/>
  <c r="I37" i="25"/>
  <c r="I32" i="25"/>
  <c r="I44" i="25"/>
  <c r="I35" i="25"/>
  <c r="H25" i="25"/>
  <c r="H134" i="25"/>
  <c r="I105" i="25"/>
  <c r="I121" i="25"/>
  <c r="I109" i="25"/>
  <c r="I98" i="25"/>
  <c r="I55" i="25"/>
  <c r="I120" i="25"/>
  <c r="I152" i="25"/>
  <c r="I128" i="25"/>
  <c r="I103" i="25"/>
  <c r="I149" i="25"/>
  <c r="I107" i="25"/>
  <c r="I146" i="25"/>
  <c r="I118" i="25"/>
  <c r="I145" i="25"/>
  <c r="I108" i="25"/>
  <c r="I110" i="25"/>
  <c r="I147" i="25"/>
  <c r="I130" i="25"/>
  <c r="I126" i="25"/>
  <c r="I151" i="25"/>
  <c r="I102" i="25"/>
  <c r="J6" i="25"/>
  <c r="J115" i="25"/>
  <c r="J94" i="25"/>
  <c r="J136" i="25"/>
  <c r="J52" i="25"/>
  <c r="J29" i="25"/>
  <c r="I66" i="25"/>
  <c r="I153" i="25"/>
  <c r="I129" i="25"/>
  <c r="I101" i="25"/>
  <c r="I143" i="25"/>
  <c r="I131" i="25"/>
  <c r="I144" i="25"/>
  <c r="I104" i="25"/>
  <c r="I139" i="25"/>
  <c r="I123" i="25"/>
  <c r="I106" i="25"/>
  <c r="I58" i="25"/>
  <c r="I122" i="25"/>
  <c r="I62" i="25"/>
  <c r="I150" i="25"/>
  <c r="I124" i="25"/>
  <c r="I97" i="25"/>
  <c r="I132" i="25"/>
  <c r="I119" i="25"/>
  <c r="I142" i="25"/>
  <c r="I127" i="25"/>
  <c r="I125" i="25"/>
  <c r="I100" i="25"/>
  <c r="I148" i="25"/>
  <c r="I61" i="25"/>
  <c r="I67" i="25"/>
  <c r="I56" i="25"/>
  <c r="I63" i="25"/>
  <c r="I64" i="25"/>
  <c r="I59" i="25"/>
  <c r="I65" i="25"/>
  <c r="I68" i="25"/>
  <c r="I60" i="25"/>
  <c r="J31" i="25"/>
  <c r="I30" i="25"/>
  <c r="I18" i="25"/>
  <c r="I19" i="25"/>
  <c r="I13" i="25"/>
  <c r="I14" i="25"/>
  <c r="I15" i="25"/>
  <c r="I9" i="25"/>
  <c r="I10" i="25"/>
  <c r="I21" i="25"/>
  <c r="I22" i="25"/>
  <c r="I20" i="25"/>
  <c r="K4" i="25"/>
  <c r="J2" i="25"/>
  <c r="J3" i="25"/>
  <c r="J86" i="25" s="1"/>
  <c r="I25" i="25" l="1"/>
  <c r="J82" i="25"/>
  <c r="J87" i="25"/>
  <c r="J78" i="25"/>
  <c r="K73" i="25"/>
  <c r="I92" i="25"/>
  <c r="J80" i="25"/>
  <c r="J77" i="25"/>
  <c r="J76" i="25"/>
  <c r="J88" i="25"/>
  <c r="J83" i="25"/>
  <c r="J81" i="25"/>
  <c r="J89" i="25"/>
  <c r="J79" i="25"/>
  <c r="J85" i="25"/>
  <c r="J84" i="25"/>
  <c r="J90" i="25"/>
  <c r="J46" i="25"/>
  <c r="J35" i="25"/>
  <c r="J45" i="25"/>
  <c r="J41" i="25"/>
  <c r="J36" i="25"/>
  <c r="J44" i="25"/>
  <c r="J38" i="25"/>
  <c r="J33" i="25"/>
  <c r="J43" i="25"/>
  <c r="J37" i="25"/>
  <c r="J32" i="25"/>
  <c r="J42" i="25"/>
  <c r="J64" i="25"/>
  <c r="J120" i="25"/>
  <c r="J131" i="25"/>
  <c r="J132" i="25"/>
  <c r="J148" i="25"/>
  <c r="J152" i="25"/>
  <c r="J108" i="25"/>
  <c r="J149" i="25"/>
  <c r="J126" i="25"/>
  <c r="J104" i="25"/>
  <c r="K29" i="25"/>
  <c r="K6" i="25"/>
  <c r="K115" i="25"/>
  <c r="K94" i="25"/>
  <c r="K136" i="25"/>
  <c r="K52" i="25"/>
  <c r="J68" i="25"/>
  <c r="J147" i="25"/>
  <c r="J100" i="25"/>
  <c r="J110" i="25"/>
  <c r="J109" i="25"/>
  <c r="J101" i="25"/>
  <c r="J97" i="25"/>
  <c r="J121" i="25"/>
  <c r="J151" i="25"/>
  <c r="J125" i="25"/>
  <c r="J122" i="25"/>
  <c r="J65" i="25"/>
  <c r="J146" i="25"/>
  <c r="J153" i="25"/>
  <c r="J98" i="25"/>
  <c r="J102" i="25"/>
  <c r="J107" i="25"/>
  <c r="J123" i="25"/>
  <c r="J144" i="25"/>
  <c r="J127" i="25"/>
  <c r="J142" i="25"/>
  <c r="J119" i="25"/>
  <c r="J129" i="25"/>
  <c r="I134" i="25"/>
  <c r="J66" i="25"/>
  <c r="J150" i="25"/>
  <c r="J106" i="25"/>
  <c r="J103" i="25"/>
  <c r="J128" i="25"/>
  <c r="J105" i="25"/>
  <c r="J118" i="25"/>
  <c r="J145" i="25"/>
  <c r="J124" i="25"/>
  <c r="J139" i="25"/>
  <c r="J130" i="25"/>
  <c r="J143" i="25"/>
  <c r="J60" i="25"/>
  <c r="J67" i="25"/>
  <c r="J62" i="25"/>
  <c r="J63" i="25"/>
  <c r="J61" i="25"/>
  <c r="J55" i="25"/>
  <c r="J56" i="25"/>
  <c r="J58" i="25"/>
  <c r="J59" i="25"/>
  <c r="K31" i="25"/>
  <c r="J30" i="25"/>
  <c r="J22" i="25"/>
  <c r="J20" i="25"/>
  <c r="J18" i="25"/>
  <c r="J19" i="25"/>
  <c r="J21" i="25"/>
  <c r="J14" i="25"/>
  <c r="J15" i="25"/>
  <c r="J9" i="25"/>
  <c r="J10" i="25"/>
  <c r="J13" i="25"/>
  <c r="K3" i="25"/>
  <c r="K79" i="25" s="1"/>
  <c r="L4" i="25"/>
  <c r="K2" i="25"/>
  <c r="K90" i="25" l="1"/>
  <c r="K85" i="25"/>
  <c r="J92" i="25"/>
  <c r="K89" i="25"/>
  <c r="K80" i="25"/>
  <c r="K86" i="25"/>
  <c r="K81" i="25"/>
  <c r="L73" i="25"/>
  <c r="K88" i="25"/>
  <c r="K78" i="25"/>
  <c r="K77" i="25"/>
  <c r="K82" i="25"/>
  <c r="K84" i="25"/>
  <c r="K87" i="25"/>
  <c r="K83" i="25"/>
  <c r="K76" i="25"/>
  <c r="K46" i="25"/>
  <c r="K35" i="25"/>
  <c r="K45" i="25"/>
  <c r="K41" i="25"/>
  <c r="K36" i="25"/>
  <c r="K44" i="25"/>
  <c r="K38" i="25"/>
  <c r="K33" i="25"/>
  <c r="K43" i="25"/>
  <c r="K37" i="25"/>
  <c r="K32" i="25"/>
  <c r="K42" i="25"/>
  <c r="J25" i="25"/>
  <c r="J134" i="25"/>
  <c r="K58" i="25"/>
  <c r="K120" i="25"/>
  <c r="K146" i="25"/>
  <c r="K105" i="25"/>
  <c r="K104" i="25"/>
  <c r="K125" i="25"/>
  <c r="K130" i="25"/>
  <c r="K128" i="25"/>
  <c r="K122" i="25"/>
  <c r="K145" i="25"/>
  <c r="K102" i="25"/>
  <c r="K55" i="25"/>
  <c r="K153" i="25"/>
  <c r="K150" i="25"/>
  <c r="K97" i="25"/>
  <c r="K131" i="25"/>
  <c r="K123" i="25"/>
  <c r="K149" i="25"/>
  <c r="K126" i="25"/>
  <c r="K151" i="25"/>
  <c r="K129" i="25"/>
  <c r="K139" i="25"/>
  <c r="K109" i="25"/>
  <c r="K152" i="25"/>
  <c r="K101" i="25"/>
  <c r="K132" i="25"/>
  <c r="K110" i="25"/>
  <c r="K121" i="25"/>
  <c r="K143" i="25"/>
  <c r="K124" i="25"/>
  <c r="K148" i="25"/>
  <c r="K119" i="25"/>
  <c r="K98" i="25"/>
  <c r="L52" i="25"/>
  <c r="L29" i="25"/>
  <c r="L6" i="25"/>
  <c r="L115" i="25"/>
  <c r="L136" i="25"/>
  <c r="L94" i="25"/>
  <c r="K67" i="25"/>
  <c r="K147" i="25"/>
  <c r="K142" i="25"/>
  <c r="K107" i="25"/>
  <c r="K103" i="25"/>
  <c r="K118" i="25"/>
  <c r="K106" i="25"/>
  <c r="K127" i="25"/>
  <c r="K108" i="25"/>
  <c r="K144" i="25"/>
  <c r="K100" i="25"/>
  <c r="K61" i="25"/>
  <c r="K56" i="25"/>
  <c r="K68" i="25"/>
  <c r="K30" i="25"/>
  <c r="K59" i="25"/>
  <c r="K65" i="25"/>
  <c r="K64" i="25"/>
  <c r="K62" i="25"/>
  <c r="K66" i="25"/>
  <c r="K63" i="25"/>
  <c r="K60" i="25"/>
  <c r="L31" i="25"/>
  <c r="K15" i="25"/>
  <c r="K18" i="25"/>
  <c r="K10" i="25"/>
  <c r="K13" i="25"/>
  <c r="K14" i="25"/>
  <c r="K20" i="25"/>
  <c r="K9" i="25"/>
  <c r="K19" i="25"/>
  <c r="K21" i="25"/>
  <c r="K22" i="25"/>
  <c r="M4" i="25"/>
  <c r="L2" i="25"/>
  <c r="L3" i="25"/>
  <c r="L85" i="25" s="1"/>
  <c r="L89" i="25" l="1"/>
  <c r="L77" i="25"/>
  <c r="L83" i="25"/>
  <c r="L88" i="25"/>
  <c r="L79" i="25"/>
  <c r="L81" i="25"/>
  <c r="L76" i="25"/>
  <c r="L86" i="25"/>
  <c r="L87" i="25"/>
  <c r="L78" i="25"/>
  <c r="L82" i="25"/>
  <c r="M73" i="25"/>
  <c r="K92" i="25"/>
  <c r="L90" i="25"/>
  <c r="L84" i="25"/>
  <c r="L80" i="25"/>
  <c r="L46" i="25"/>
  <c r="L35" i="25"/>
  <c r="L45" i="25"/>
  <c r="L41" i="25"/>
  <c r="L36" i="25"/>
  <c r="L44" i="25"/>
  <c r="L38" i="25"/>
  <c r="L33" i="25"/>
  <c r="L43" i="25"/>
  <c r="L37" i="25"/>
  <c r="L32" i="25"/>
  <c r="L42" i="25"/>
  <c r="M32" i="25"/>
  <c r="M45" i="25"/>
  <c r="M37" i="25"/>
  <c r="M44" i="25"/>
  <c r="M38" i="25"/>
  <c r="M43" i="25"/>
  <c r="K25" i="25"/>
  <c r="M94" i="25"/>
  <c r="M136" i="25"/>
  <c r="M52" i="25"/>
  <c r="M29" i="25"/>
  <c r="M6" i="25"/>
  <c r="M115" i="25"/>
  <c r="L147" i="25"/>
  <c r="L101" i="25"/>
  <c r="L97" i="25"/>
  <c r="L128" i="25"/>
  <c r="L124" i="25"/>
  <c r="L130" i="25"/>
  <c r="L98" i="25"/>
  <c r="L100" i="25"/>
  <c r="L102" i="25"/>
  <c r="L142" i="25"/>
  <c r="L152" i="25"/>
  <c r="L143" i="25"/>
  <c r="L131" i="25"/>
  <c r="L107" i="25"/>
  <c r="L149" i="25"/>
  <c r="L119" i="25"/>
  <c r="L126" i="25"/>
  <c r="L151" i="25"/>
  <c r="L118" i="25"/>
  <c r="L104" i="25"/>
  <c r="K134" i="25"/>
  <c r="L120" i="25"/>
  <c r="L146" i="25"/>
  <c r="L108" i="25"/>
  <c r="L127" i="25"/>
  <c r="L122" i="25"/>
  <c r="L103" i="25"/>
  <c r="L145" i="25"/>
  <c r="L139" i="25"/>
  <c r="L123" i="25"/>
  <c r="L121" i="25"/>
  <c r="L153" i="25"/>
  <c r="L109" i="25"/>
  <c r="L106" i="25"/>
  <c r="L110" i="25"/>
  <c r="L105" i="25"/>
  <c r="L132" i="25"/>
  <c r="L129" i="25"/>
  <c r="L125" i="25"/>
  <c r="L148" i="25"/>
  <c r="L144" i="25"/>
  <c r="L150" i="25"/>
  <c r="L30" i="25"/>
  <c r="L67" i="25"/>
  <c r="L68" i="25"/>
  <c r="L62" i="25"/>
  <c r="L58" i="25"/>
  <c r="L60" i="25"/>
  <c r="L61" i="25"/>
  <c r="L56" i="25"/>
  <c r="L65" i="25"/>
  <c r="L63" i="25"/>
  <c r="L59" i="25"/>
  <c r="L66" i="25"/>
  <c r="L64" i="25"/>
  <c r="L55" i="25"/>
  <c r="M31" i="25"/>
  <c r="L20" i="25"/>
  <c r="L9" i="25"/>
  <c r="L10" i="25"/>
  <c r="L21" i="25"/>
  <c r="L22" i="25"/>
  <c r="L18" i="25"/>
  <c r="L19" i="25"/>
  <c r="L13" i="25"/>
  <c r="L14" i="25"/>
  <c r="L15" i="25"/>
  <c r="N4" i="25"/>
  <c r="M2" i="25"/>
  <c r="M3" i="25"/>
  <c r="L25" i="25" l="1"/>
  <c r="M25" i="25"/>
  <c r="M33" i="25"/>
  <c r="M90" i="25"/>
  <c r="M82" i="25"/>
  <c r="N73" i="25"/>
  <c r="M87" i="25"/>
  <c r="M77" i="25"/>
  <c r="M81" i="25"/>
  <c r="L92" i="25"/>
  <c r="M89" i="25"/>
  <c r="M86" i="25"/>
  <c r="M88" i="25"/>
  <c r="M79" i="25"/>
  <c r="M84" i="25"/>
  <c r="M85" i="25"/>
  <c r="M83" i="25"/>
  <c r="M78" i="25"/>
  <c r="M76" i="25"/>
  <c r="M80" i="25"/>
  <c r="M41" i="25"/>
  <c r="M35" i="25"/>
  <c r="M46" i="25"/>
  <c r="M36" i="25"/>
  <c r="N37" i="25"/>
  <c r="N32" i="25"/>
  <c r="N44" i="25"/>
  <c r="N45" i="25"/>
  <c r="N38" i="25"/>
  <c r="N43" i="25"/>
  <c r="M42" i="25"/>
  <c r="M30" i="25"/>
  <c r="L134" i="25"/>
  <c r="M152" i="25"/>
  <c r="M146" i="25"/>
  <c r="M97" i="25"/>
  <c r="M128" i="25"/>
  <c r="M110" i="25"/>
  <c r="M129" i="25"/>
  <c r="M149" i="25"/>
  <c r="M126" i="25"/>
  <c r="M123" i="25"/>
  <c r="M118" i="25"/>
  <c r="M104" i="25"/>
  <c r="M150" i="25"/>
  <c r="M107" i="25"/>
  <c r="M132" i="25"/>
  <c r="M144" i="25"/>
  <c r="M105" i="25"/>
  <c r="M124" i="25"/>
  <c r="M143" i="25"/>
  <c r="M125" i="25"/>
  <c r="M108" i="25"/>
  <c r="M148" i="25"/>
  <c r="N6" i="25"/>
  <c r="N115" i="25"/>
  <c r="N94" i="25"/>
  <c r="N52" i="25"/>
  <c r="N136" i="25"/>
  <c r="N29" i="25"/>
  <c r="M120" i="25"/>
  <c r="M147" i="25"/>
  <c r="M103" i="25"/>
  <c r="M119" i="25"/>
  <c r="M131" i="25"/>
  <c r="M151" i="25"/>
  <c r="M122" i="25"/>
  <c r="M102" i="25"/>
  <c r="M121" i="25"/>
  <c r="M98" i="25"/>
  <c r="M142" i="25"/>
  <c r="M153" i="25"/>
  <c r="M101" i="25"/>
  <c r="M127" i="25"/>
  <c r="M139" i="25"/>
  <c r="M130" i="25"/>
  <c r="M106" i="25"/>
  <c r="M145" i="25"/>
  <c r="M109" i="25"/>
  <c r="M100" i="25"/>
  <c r="M68" i="25"/>
  <c r="M67" i="25"/>
  <c r="M63" i="25"/>
  <c r="M60" i="25"/>
  <c r="M55" i="25"/>
  <c r="M66" i="25"/>
  <c r="M62" i="25"/>
  <c r="M61" i="25"/>
  <c r="M56" i="25"/>
  <c r="M64" i="25"/>
  <c r="M58" i="25"/>
  <c r="M59" i="25"/>
  <c r="M65" i="25"/>
  <c r="N31" i="25"/>
  <c r="M18" i="25"/>
  <c r="M19" i="25"/>
  <c r="M13" i="25"/>
  <c r="M14" i="25"/>
  <c r="M15" i="25"/>
  <c r="M9" i="25"/>
  <c r="M10" i="25"/>
  <c r="M21" i="25"/>
  <c r="M22" i="25"/>
  <c r="M20" i="25"/>
  <c r="O4" i="25"/>
  <c r="N2" i="25"/>
  <c r="N3" i="25"/>
  <c r="N85" i="25" s="1"/>
  <c r="N81" i="25" l="1"/>
  <c r="N89" i="25"/>
  <c r="N86" i="25"/>
  <c r="N79" i="25"/>
  <c r="N84" i="25"/>
  <c r="M92" i="25"/>
  <c r="N83" i="25"/>
  <c r="N77" i="25"/>
  <c r="N87" i="25"/>
  <c r="N76" i="25"/>
  <c r="N80" i="25"/>
  <c r="N90" i="25"/>
  <c r="O73" i="25"/>
  <c r="N82" i="25"/>
  <c r="N78" i="25"/>
  <c r="N88" i="25"/>
  <c r="N35" i="25"/>
  <c r="N36" i="25"/>
  <c r="N46" i="25"/>
  <c r="N42" i="25"/>
  <c r="O38" i="25"/>
  <c r="O43" i="25"/>
  <c r="O32" i="25"/>
  <c r="O37" i="25"/>
  <c r="O44" i="25"/>
  <c r="O45" i="25"/>
  <c r="N41" i="25"/>
  <c r="N33" i="25"/>
  <c r="O29" i="25"/>
  <c r="O6" i="25"/>
  <c r="O115" i="25"/>
  <c r="O94" i="25"/>
  <c r="O136" i="25"/>
  <c r="O52" i="25"/>
  <c r="N152" i="25"/>
  <c r="N143" i="25"/>
  <c r="N105" i="25"/>
  <c r="N100" i="25"/>
  <c r="N102" i="25"/>
  <c r="N124" i="25"/>
  <c r="N149" i="25"/>
  <c r="N144" i="25"/>
  <c r="N131" i="25"/>
  <c r="M134" i="25"/>
  <c r="N153" i="25"/>
  <c r="N98" i="25"/>
  <c r="N108" i="25"/>
  <c r="N103" i="25"/>
  <c r="N110" i="25"/>
  <c r="N126" i="25"/>
  <c r="N119" i="25"/>
  <c r="N147" i="25"/>
  <c r="N145" i="25"/>
  <c r="N129" i="25"/>
  <c r="N120" i="25"/>
  <c r="N150" i="25"/>
  <c r="N109" i="25"/>
  <c r="N101" i="25"/>
  <c r="N121" i="25"/>
  <c r="N106" i="25"/>
  <c r="N151" i="25"/>
  <c r="N122" i="25"/>
  <c r="N123" i="25"/>
  <c r="N132" i="25"/>
  <c r="N146" i="25"/>
  <c r="N142" i="25"/>
  <c r="N107" i="25"/>
  <c r="N148" i="25"/>
  <c r="N97" i="25"/>
  <c r="N104" i="25"/>
  <c r="N125" i="25"/>
  <c r="N130" i="25"/>
  <c r="N118" i="25"/>
  <c r="N127" i="25"/>
  <c r="N139" i="25"/>
  <c r="N128" i="25"/>
  <c r="N61" i="25"/>
  <c r="N56" i="25"/>
  <c r="N55" i="25"/>
  <c r="N58" i="25"/>
  <c r="N59" i="25"/>
  <c r="N67" i="25"/>
  <c r="N68" i="25"/>
  <c r="N66" i="25"/>
  <c r="N65" i="25"/>
  <c r="N64" i="25"/>
  <c r="N62" i="25"/>
  <c r="N63" i="25"/>
  <c r="N60" i="25"/>
  <c r="N30" i="25"/>
  <c r="O31" i="25"/>
  <c r="N22" i="25"/>
  <c r="N20" i="25"/>
  <c r="N18" i="25"/>
  <c r="N19" i="25"/>
  <c r="N21" i="25"/>
  <c r="N14" i="25"/>
  <c r="N15" i="25"/>
  <c r="N9" i="25"/>
  <c r="N10" i="25"/>
  <c r="N13" i="25"/>
  <c r="P4" i="25"/>
  <c r="O2" i="25"/>
  <c r="O3" i="25"/>
  <c r="O89" i="25" s="1"/>
  <c r="O86" i="25" l="1"/>
  <c r="O77" i="25"/>
  <c r="O81" i="25"/>
  <c r="N92" i="25"/>
  <c r="O88" i="25"/>
  <c r="O78" i="25"/>
  <c r="O79" i="25"/>
  <c r="O82" i="25"/>
  <c r="O87" i="25"/>
  <c r="O83" i="25"/>
  <c r="O80" i="25"/>
  <c r="P73" i="25"/>
  <c r="O90" i="25"/>
  <c r="O84" i="25"/>
  <c r="O85" i="25"/>
  <c r="O76" i="25"/>
  <c r="O35" i="25"/>
  <c r="O46" i="25"/>
  <c r="O36" i="25"/>
  <c r="P32" i="25"/>
  <c r="P37" i="25"/>
  <c r="P38" i="25"/>
  <c r="P43" i="25"/>
  <c r="P44" i="25"/>
  <c r="P45" i="25"/>
  <c r="O41" i="25"/>
  <c r="O33" i="25"/>
  <c r="O42" i="25"/>
  <c r="N25" i="25"/>
  <c r="O100" i="25"/>
  <c r="P52" i="25"/>
  <c r="P136" i="25"/>
  <c r="P29" i="25"/>
  <c r="P6" i="25"/>
  <c r="P94" i="25"/>
  <c r="P115" i="25"/>
  <c r="O142" i="25"/>
  <c r="O105" i="25"/>
  <c r="O128" i="25"/>
  <c r="O106" i="25"/>
  <c r="O131" i="25"/>
  <c r="O147" i="25"/>
  <c r="O130" i="25"/>
  <c r="O143" i="25"/>
  <c r="O127" i="25"/>
  <c r="O108" i="25"/>
  <c r="O120" i="25"/>
  <c r="O104" i="25"/>
  <c r="O97" i="25"/>
  <c r="O125" i="25"/>
  <c r="O107" i="25"/>
  <c r="O129" i="25"/>
  <c r="O124" i="25"/>
  <c r="O148" i="25"/>
  <c r="O150" i="25"/>
  <c r="O30" i="25"/>
  <c r="N134" i="25"/>
  <c r="O146" i="25"/>
  <c r="O123" i="25"/>
  <c r="O103" i="25"/>
  <c r="O118" i="25"/>
  <c r="O110" i="25"/>
  <c r="O152" i="25"/>
  <c r="O98" i="25"/>
  <c r="O149" i="25"/>
  <c r="O139" i="25"/>
  <c r="O145" i="25"/>
  <c r="O102" i="25"/>
  <c r="O153" i="25"/>
  <c r="O121" i="25"/>
  <c r="O132" i="25"/>
  <c r="O119" i="25"/>
  <c r="O101" i="25"/>
  <c r="O151" i="25"/>
  <c r="O126" i="25"/>
  <c r="O144" i="25"/>
  <c r="O122" i="25"/>
  <c r="O109" i="25"/>
  <c r="O61" i="25"/>
  <c r="O68" i="25"/>
  <c r="O59" i="25"/>
  <c r="O56" i="25"/>
  <c r="O64" i="25"/>
  <c r="O67" i="25"/>
  <c r="O66" i="25"/>
  <c r="O65" i="25"/>
  <c r="O60" i="25"/>
  <c r="O55" i="25"/>
  <c r="O62" i="25"/>
  <c r="O63" i="25"/>
  <c r="O58" i="25"/>
  <c r="P31" i="25"/>
  <c r="O19" i="25"/>
  <c r="O22" i="25"/>
  <c r="O18" i="25"/>
  <c r="O20" i="25"/>
  <c r="O21" i="25"/>
  <c r="O14" i="25"/>
  <c r="O13" i="25"/>
  <c r="O15" i="25"/>
  <c r="O10" i="25"/>
  <c r="O9" i="25"/>
  <c r="Q4" i="25"/>
  <c r="P2" i="25"/>
  <c r="P3" i="25"/>
  <c r="P46" i="25" s="1"/>
  <c r="O25" i="25" l="1"/>
  <c r="O92" i="25"/>
  <c r="P87" i="25"/>
  <c r="P86" i="25"/>
  <c r="P76" i="25"/>
  <c r="Q73" i="25"/>
  <c r="P90" i="25"/>
  <c r="P85" i="25"/>
  <c r="P79" i="25"/>
  <c r="P77" i="25"/>
  <c r="P89" i="25"/>
  <c r="P84" i="25"/>
  <c r="P78" i="25"/>
  <c r="P81" i="25"/>
  <c r="P88" i="25"/>
  <c r="P83" i="25"/>
  <c r="P80" i="25"/>
  <c r="P82" i="25"/>
  <c r="P35" i="25"/>
  <c r="P36" i="25"/>
  <c r="Q32" i="25"/>
  <c r="Q37" i="25"/>
  <c r="Q38" i="25"/>
  <c r="Q43" i="25"/>
  <c r="Q44" i="25"/>
  <c r="Q45" i="25"/>
  <c r="P42" i="25"/>
  <c r="P33" i="25"/>
  <c r="P41" i="25"/>
  <c r="Q94" i="25"/>
  <c r="Q52" i="25"/>
  <c r="Q136" i="25"/>
  <c r="Q29" i="25"/>
  <c r="Q115" i="25"/>
  <c r="Q6" i="25"/>
  <c r="P152" i="25"/>
  <c r="P125" i="25"/>
  <c r="P104" i="25"/>
  <c r="P109" i="25"/>
  <c r="P124" i="25"/>
  <c r="P149" i="25"/>
  <c r="P146" i="25"/>
  <c r="P118" i="25"/>
  <c r="P144" i="25"/>
  <c r="P139" i="25"/>
  <c r="P98" i="25"/>
  <c r="P147" i="25"/>
  <c r="P151" i="25"/>
  <c r="P110" i="25"/>
  <c r="P105" i="25"/>
  <c r="P122" i="25"/>
  <c r="P143" i="25"/>
  <c r="P148" i="25"/>
  <c r="P150" i="25"/>
  <c r="P142" i="25"/>
  <c r="P120" i="25"/>
  <c r="P108" i="25"/>
  <c r="P106" i="25"/>
  <c r="P101" i="25"/>
  <c r="P126" i="25"/>
  <c r="P128" i="25"/>
  <c r="P130" i="25"/>
  <c r="P123" i="25"/>
  <c r="P100" i="25"/>
  <c r="P132" i="25"/>
  <c r="O134" i="25"/>
  <c r="P153" i="25"/>
  <c r="P107" i="25"/>
  <c r="P103" i="25"/>
  <c r="P97" i="25"/>
  <c r="P131" i="25"/>
  <c r="P127" i="25"/>
  <c r="P119" i="25"/>
  <c r="P145" i="25"/>
  <c r="P121" i="25"/>
  <c r="P102" i="25"/>
  <c r="P129" i="25"/>
  <c r="P67" i="25"/>
  <c r="P62" i="25"/>
  <c r="P55" i="25"/>
  <c r="P63" i="25"/>
  <c r="P68" i="25"/>
  <c r="P64" i="25"/>
  <c r="P60" i="25"/>
  <c r="P61" i="25"/>
  <c r="P56" i="25"/>
  <c r="P58" i="25"/>
  <c r="P66" i="25"/>
  <c r="P59" i="25"/>
  <c r="P65" i="25"/>
  <c r="Q31" i="25"/>
  <c r="P30" i="25"/>
  <c r="P21" i="25"/>
  <c r="P10" i="25"/>
  <c r="P9" i="25"/>
  <c r="Q3" i="25"/>
  <c r="Q84" i="25" s="1"/>
  <c r="P20" i="25"/>
  <c r="P15" i="25"/>
  <c r="P19" i="25"/>
  <c r="P18" i="25"/>
  <c r="P22" i="25"/>
  <c r="P14" i="25"/>
  <c r="P13" i="25"/>
  <c r="R4" i="25"/>
  <c r="Q2" i="25"/>
  <c r="P25" i="25" l="1"/>
  <c r="Q86" i="25"/>
  <c r="P92" i="25"/>
  <c r="Q82" i="25"/>
  <c r="Q81" i="25"/>
  <c r="Q78" i="25"/>
  <c r="Q79" i="25"/>
  <c r="Q89" i="25"/>
  <c r="Q88" i="25"/>
  <c r="Q90" i="25"/>
  <c r="Q76" i="25"/>
  <c r="Q80" i="25"/>
  <c r="R73" i="25"/>
  <c r="Q87" i="25"/>
  <c r="Q83" i="25"/>
  <c r="Q85" i="25"/>
  <c r="Q77" i="25"/>
  <c r="Q35" i="25"/>
  <c r="Q36" i="25"/>
  <c r="Q46" i="25"/>
  <c r="Q42" i="25"/>
  <c r="Q33" i="25"/>
  <c r="Q41" i="25"/>
  <c r="R32" i="25"/>
  <c r="R37" i="25"/>
  <c r="R38" i="25"/>
  <c r="R43" i="25"/>
  <c r="R45" i="25"/>
  <c r="R44" i="25"/>
  <c r="Q20" i="25"/>
  <c r="Q19" i="25"/>
  <c r="Q15" i="25"/>
  <c r="Q22" i="25"/>
  <c r="Q13" i="25"/>
  <c r="Q18" i="25"/>
  <c r="Q21" i="25"/>
  <c r="Q9" i="25"/>
  <c r="Q10" i="25"/>
  <c r="Q152" i="25"/>
  <c r="Q103" i="25"/>
  <c r="Q105" i="25"/>
  <c r="Q151" i="25"/>
  <c r="Q122" i="25"/>
  <c r="Q119" i="25"/>
  <c r="Q123" i="25"/>
  <c r="Q110" i="25"/>
  <c r="Q100" i="25"/>
  <c r="Q118" i="25"/>
  <c r="Q150" i="25"/>
  <c r="Q131" i="25"/>
  <c r="Q97" i="25"/>
  <c r="Q128" i="25"/>
  <c r="Q147" i="25"/>
  <c r="Q130" i="25"/>
  <c r="Q126" i="25"/>
  <c r="Q125" i="25"/>
  <c r="Q104" i="25"/>
  <c r="Q102" i="25"/>
  <c r="R6" i="25"/>
  <c r="R115" i="25"/>
  <c r="R94" i="25"/>
  <c r="R52" i="25"/>
  <c r="R136" i="25"/>
  <c r="R29" i="25"/>
  <c r="Q14" i="25"/>
  <c r="Q120" i="25"/>
  <c r="Q146" i="25"/>
  <c r="Q109" i="25"/>
  <c r="Q107" i="25"/>
  <c r="Q142" i="25"/>
  <c r="Q129" i="25"/>
  <c r="Q149" i="25"/>
  <c r="Q144" i="25"/>
  <c r="Q121" i="25"/>
  <c r="Q145" i="25"/>
  <c r="Q108" i="25"/>
  <c r="P134" i="25"/>
  <c r="Q153" i="25"/>
  <c r="Q101" i="25"/>
  <c r="Q106" i="25"/>
  <c r="Q132" i="25"/>
  <c r="Q127" i="25"/>
  <c r="Q124" i="25"/>
  <c r="Q143" i="25"/>
  <c r="Q98" i="25"/>
  <c r="Q148" i="25"/>
  <c r="Q139" i="25"/>
  <c r="Q68" i="25"/>
  <c r="Q59" i="25"/>
  <c r="Q56" i="25"/>
  <c r="Q60" i="25"/>
  <c r="Q62" i="25"/>
  <c r="Q65" i="25"/>
  <c r="Q58" i="25"/>
  <c r="Q55" i="25"/>
  <c r="Q66" i="25"/>
  <c r="Q63" i="25"/>
  <c r="Q67" i="25"/>
  <c r="Q61" i="25"/>
  <c r="Q64" i="25"/>
  <c r="R31" i="25"/>
  <c r="Q30" i="25"/>
  <c r="S4" i="25"/>
  <c r="R2" i="25"/>
  <c r="R3" i="25"/>
  <c r="R129" i="25" s="1"/>
  <c r="Q25" i="25" l="1"/>
  <c r="R90" i="25"/>
  <c r="R79" i="25"/>
  <c r="R80" i="25"/>
  <c r="R86" i="25"/>
  <c r="S73" i="25"/>
  <c r="R82" i="25"/>
  <c r="R77" i="25"/>
  <c r="R84" i="25"/>
  <c r="R87" i="25"/>
  <c r="R85" i="25"/>
  <c r="R78" i="25"/>
  <c r="R88" i="25"/>
  <c r="Q92" i="25"/>
  <c r="R81" i="25"/>
  <c r="R83" i="25"/>
  <c r="R76" i="25"/>
  <c r="R89" i="25"/>
  <c r="R35" i="25"/>
  <c r="R46" i="25"/>
  <c r="R36" i="25"/>
  <c r="S37" i="25"/>
  <c r="S43" i="25"/>
  <c r="S44" i="25"/>
  <c r="S45" i="25"/>
  <c r="S32" i="25"/>
  <c r="S38" i="25"/>
  <c r="R41" i="25"/>
  <c r="R42" i="25"/>
  <c r="R33" i="25"/>
  <c r="R153" i="25"/>
  <c r="R107" i="25"/>
  <c r="R130" i="25"/>
  <c r="R110" i="25"/>
  <c r="R139" i="25"/>
  <c r="R98" i="25"/>
  <c r="R119" i="25"/>
  <c r="R126" i="25"/>
  <c r="R143" i="25"/>
  <c r="R125" i="25"/>
  <c r="Q134" i="25"/>
  <c r="R146" i="25"/>
  <c r="R101" i="25"/>
  <c r="R151" i="25"/>
  <c r="R106" i="25"/>
  <c r="R108" i="25"/>
  <c r="R103" i="25"/>
  <c r="R149" i="25"/>
  <c r="R127" i="25"/>
  <c r="R128" i="25"/>
  <c r="R147" i="25"/>
  <c r="R150" i="25"/>
  <c r="R131" i="25"/>
  <c r="R109" i="25"/>
  <c r="R104" i="25"/>
  <c r="R142" i="25"/>
  <c r="R132" i="25"/>
  <c r="R123" i="25"/>
  <c r="R152" i="25"/>
  <c r="R121" i="25"/>
  <c r="R145" i="25"/>
  <c r="S29" i="25"/>
  <c r="S6" i="25"/>
  <c r="S115" i="25"/>
  <c r="S94" i="25"/>
  <c r="S52" i="25"/>
  <c r="S136" i="25"/>
  <c r="R120" i="25"/>
  <c r="R97" i="25"/>
  <c r="R105" i="25"/>
  <c r="R102" i="25"/>
  <c r="R100" i="25"/>
  <c r="R124" i="25"/>
  <c r="R118" i="25"/>
  <c r="R144" i="25"/>
  <c r="R148" i="25"/>
  <c r="R122" i="25"/>
  <c r="R61" i="25"/>
  <c r="R62" i="25"/>
  <c r="R63" i="25"/>
  <c r="R67" i="25"/>
  <c r="R59" i="25"/>
  <c r="R56" i="25"/>
  <c r="R64" i="25"/>
  <c r="R55" i="25"/>
  <c r="R60" i="25"/>
  <c r="R66" i="25"/>
  <c r="R68" i="25"/>
  <c r="R65" i="25"/>
  <c r="R58" i="25"/>
  <c r="S31" i="25"/>
  <c r="R30" i="25"/>
  <c r="R21" i="25"/>
  <c r="R22" i="25"/>
  <c r="R10" i="25"/>
  <c r="R20" i="25"/>
  <c r="R18" i="25"/>
  <c r="R13" i="25"/>
  <c r="R19" i="25"/>
  <c r="R15" i="25"/>
  <c r="R14" i="25"/>
  <c r="R9" i="25"/>
  <c r="T4" i="25"/>
  <c r="S2" i="25"/>
  <c r="S3" i="25"/>
  <c r="S139" i="25" s="1"/>
  <c r="R92" i="25" l="1"/>
  <c r="S86" i="25"/>
  <c r="S77" i="25"/>
  <c r="S90" i="25"/>
  <c r="S80" i="25"/>
  <c r="S81" i="25"/>
  <c r="S89" i="25"/>
  <c r="S83" i="25"/>
  <c r="S85" i="25"/>
  <c r="T73" i="25"/>
  <c r="S88" i="25"/>
  <c r="S79" i="25"/>
  <c r="S82" i="25"/>
  <c r="S84" i="25"/>
  <c r="S87" i="25"/>
  <c r="S78" i="25"/>
  <c r="S76" i="25"/>
  <c r="S35" i="25"/>
  <c r="S36" i="25"/>
  <c r="S46" i="25"/>
  <c r="T32" i="25"/>
  <c r="T37" i="25"/>
  <c r="T38" i="25"/>
  <c r="T43" i="25"/>
  <c r="T44" i="25"/>
  <c r="T45" i="25"/>
  <c r="S41" i="25"/>
  <c r="S42" i="25"/>
  <c r="S33" i="25"/>
  <c r="R25" i="25"/>
  <c r="S120" i="25"/>
  <c r="S147" i="25"/>
  <c r="S123" i="25"/>
  <c r="S121" i="25"/>
  <c r="S127" i="25"/>
  <c r="S128" i="25"/>
  <c r="S122" i="25"/>
  <c r="S142" i="25"/>
  <c r="S109" i="25"/>
  <c r="S108" i="25"/>
  <c r="T52" i="25"/>
  <c r="T136" i="25"/>
  <c r="T29" i="25"/>
  <c r="T6" i="25"/>
  <c r="T115" i="25"/>
  <c r="T94" i="25"/>
  <c r="S150" i="25"/>
  <c r="S153" i="25"/>
  <c r="S103" i="25"/>
  <c r="S110" i="25"/>
  <c r="S149" i="25"/>
  <c r="S129" i="25"/>
  <c r="S148" i="25"/>
  <c r="S118" i="25"/>
  <c r="S143" i="25"/>
  <c r="S106" i="25"/>
  <c r="S145" i="25"/>
  <c r="S146" i="25"/>
  <c r="S105" i="25"/>
  <c r="S104" i="25"/>
  <c r="S101" i="25"/>
  <c r="S107" i="25"/>
  <c r="S125" i="25"/>
  <c r="S151" i="25"/>
  <c r="S126" i="25"/>
  <c r="S100" i="25"/>
  <c r="R134" i="25"/>
  <c r="S152" i="25"/>
  <c r="S131" i="25"/>
  <c r="S97" i="25"/>
  <c r="S119" i="25"/>
  <c r="S132" i="25"/>
  <c r="S124" i="25"/>
  <c r="S144" i="25"/>
  <c r="S130" i="25"/>
  <c r="S98" i="25"/>
  <c r="S102" i="25"/>
  <c r="S55" i="25"/>
  <c r="S63" i="25"/>
  <c r="S68" i="25"/>
  <c r="S61" i="25"/>
  <c r="S66" i="25"/>
  <c r="S64" i="25"/>
  <c r="S67" i="25"/>
  <c r="S62" i="25"/>
  <c r="S60" i="25"/>
  <c r="S59" i="25"/>
  <c r="S65" i="25"/>
  <c r="S56" i="25"/>
  <c r="S58" i="25"/>
  <c r="T31" i="25"/>
  <c r="S30" i="25"/>
  <c r="S19" i="25"/>
  <c r="S10" i="25"/>
  <c r="S22" i="25"/>
  <c r="S20" i="25"/>
  <c r="S21" i="25"/>
  <c r="S18" i="25"/>
  <c r="S13" i="25"/>
  <c r="S15" i="25"/>
  <c r="S14" i="25"/>
  <c r="S9" i="25"/>
  <c r="U4" i="25"/>
  <c r="T2" i="25"/>
  <c r="T3" i="25"/>
  <c r="T25" i="25" l="1"/>
  <c r="T86" i="25"/>
  <c r="T87" i="25"/>
  <c r="T79" i="25"/>
  <c r="T81" i="25"/>
  <c r="S92" i="25"/>
  <c r="T90" i="25"/>
  <c r="T80" i="25"/>
  <c r="T78" i="25"/>
  <c r="T82" i="25"/>
  <c r="T89" i="25"/>
  <c r="T85" i="25"/>
  <c r="T76" i="25"/>
  <c r="U73" i="25"/>
  <c r="T84" i="25"/>
  <c r="T88" i="25"/>
  <c r="T83" i="25"/>
  <c r="T77" i="25"/>
  <c r="T35" i="25"/>
  <c r="T36" i="25"/>
  <c r="T46" i="25"/>
  <c r="T40" i="25"/>
  <c r="T39" i="25"/>
  <c r="T34" i="25"/>
  <c r="U32" i="25"/>
  <c r="U37" i="25"/>
  <c r="U38" i="25"/>
  <c r="U43" i="25"/>
  <c r="U44" i="25"/>
  <c r="U45" i="25"/>
  <c r="T42" i="25"/>
  <c r="T33" i="25"/>
  <c r="T41" i="25"/>
  <c r="S25" i="25"/>
  <c r="T152" i="25"/>
  <c r="T107" i="25"/>
  <c r="T109" i="25"/>
  <c r="T126" i="25"/>
  <c r="T106" i="25"/>
  <c r="T125" i="25"/>
  <c r="T122" i="25"/>
  <c r="T148" i="25"/>
  <c r="T147" i="25"/>
  <c r="T98" i="25"/>
  <c r="T145" i="25"/>
  <c r="T150" i="25"/>
  <c r="T103" i="25"/>
  <c r="T105" i="25"/>
  <c r="T131" i="25"/>
  <c r="T97" i="25"/>
  <c r="T151" i="25"/>
  <c r="T149" i="25"/>
  <c r="T100" i="25"/>
  <c r="T121" i="25"/>
  <c r="T104" i="25"/>
  <c r="T123" i="25"/>
  <c r="U94" i="25"/>
  <c r="U52" i="25"/>
  <c r="U136" i="25"/>
  <c r="U29" i="25"/>
  <c r="U115" i="25"/>
  <c r="U6" i="25"/>
  <c r="T153" i="25"/>
  <c r="T119" i="25"/>
  <c r="T101" i="25"/>
  <c r="T110" i="25"/>
  <c r="T128" i="25"/>
  <c r="T142" i="25"/>
  <c r="T143" i="25"/>
  <c r="T102" i="25"/>
  <c r="T144" i="25"/>
  <c r="T139" i="25"/>
  <c r="T120" i="25"/>
  <c r="T146" i="25"/>
  <c r="T132" i="25"/>
  <c r="T108" i="25"/>
  <c r="T129" i="25"/>
  <c r="T124" i="25"/>
  <c r="T130" i="25"/>
  <c r="T127" i="25"/>
  <c r="T118" i="25"/>
  <c r="S134" i="25"/>
  <c r="T68" i="25"/>
  <c r="T55" i="25"/>
  <c r="T56" i="25"/>
  <c r="T64" i="25"/>
  <c r="T62" i="25"/>
  <c r="T61" i="25"/>
  <c r="T65" i="25"/>
  <c r="T60" i="25"/>
  <c r="T66" i="25"/>
  <c r="T67" i="25"/>
  <c r="T59" i="25"/>
  <c r="T63" i="25"/>
  <c r="T58" i="25"/>
  <c r="U31" i="25"/>
  <c r="T30" i="25"/>
  <c r="T21" i="25"/>
  <c r="T10" i="25"/>
  <c r="T9" i="25"/>
  <c r="T20" i="25"/>
  <c r="T15" i="25"/>
  <c r="T19" i="25"/>
  <c r="T18" i="25"/>
  <c r="T22" i="25"/>
  <c r="T14" i="25"/>
  <c r="T13" i="25"/>
  <c r="V4" i="25"/>
  <c r="U2" i="25"/>
  <c r="U3" i="25"/>
  <c r="U110" i="25" s="1"/>
  <c r="U85" i="25" l="1"/>
  <c r="U81" i="25"/>
  <c r="U88" i="25"/>
  <c r="U87" i="25"/>
  <c r="U77" i="25"/>
  <c r="U80" i="25"/>
  <c r="T92" i="25"/>
  <c r="U84" i="25"/>
  <c r="V73" i="25"/>
  <c r="U83" i="25"/>
  <c r="U76" i="25"/>
  <c r="U78" i="25"/>
  <c r="U79" i="25"/>
  <c r="U90" i="25"/>
  <c r="U89" i="25"/>
  <c r="U86" i="25"/>
  <c r="U82" i="25"/>
  <c r="U35" i="25"/>
  <c r="U46" i="25"/>
  <c r="U36" i="25"/>
  <c r="U41" i="25"/>
  <c r="V32" i="25"/>
  <c r="V37" i="25"/>
  <c r="V38" i="25"/>
  <c r="V43" i="25"/>
  <c r="V45" i="25"/>
  <c r="V44" i="25"/>
  <c r="U40" i="25"/>
  <c r="U39" i="25"/>
  <c r="U34" i="25"/>
  <c r="U42" i="25"/>
  <c r="U33" i="25"/>
  <c r="T48" i="25"/>
  <c r="T134" i="25"/>
  <c r="U120" i="25"/>
  <c r="U147" i="25"/>
  <c r="U109" i="25"/>
  <c r="U98" i="25"/>
  <c r="U103" i="25"/>
  <c r="U119" i="25"/>
  <c r="U129" i="25"/>
  <c r="U149" i="25"/>
  <c r="U121" i="25"/>
  <c r="U148" i="25"/>
  <c r="U142" i="25"/>
  <c r="U146" i="25"/>
  <c r="U105" i="25"/>
  <c r="U101" i="25"/>
  <c r="U127" i="25"/>
  <c r="U124" i="25"/>
  <c r="U143" i="25"/>
  <c r="U139" i="25"/>
  <c r="U106" i="25"/>
  <c r="U145" i="25"/>
  <c r="U152" i="25"/>
  <c r="U150" i="25"/>
  <c r="U131" i="25"/>
  <c r="U125" i="25"/>
  <c r="U97" i="25"/>
  <c r="U144" i="25"/>
  <c r="U122" i="25"/>
  <c r="U123" i="25"/>
  <c r="U100" i="25"/>
  <c r="U102" i="25"/>
  <c r="V6" i="25"/>
  <c r="V115" i="25"/>
  <c r="V94" i="25"/>
  <c r="V52" i="25"/>
  <c r="V29" i="25"/>
  <c r="V136" i="25"/>
  <c r="U153" i="25"/>
  <c r="U128" i="25"/>
  <c r="U126" i="25"/>
  <c r="U107" i="25"/>
  <c r="U132" i="25"/>
  <c r="U151" i="25"/>
  <c r="U130" i="25"/>
  <c r="U104" i="25"/>
  <c r="U118" i="25"/>
  <c r="U108" i="25"/>
  <c r="U61" i="25"/>
  <c r="U68" i="25"/>
  <c r="U63" i="25"/>
  <c r="U59" i="25"/>
  <c r="U64" i="25"/>
  <c r="U62" i="25"/>
  <c r="U67" i="25"/>
  <c r="U56" i="25"/>
  <c r="U60" i="25"/>
  <c r="U55" i="25"/>
  <c r="U66" i="25"/>
  <c r="U65" i="25"/>
  <c r="U58" i="25"/>
  <c r="V31" i="25"/>
  <c r="U30" i="25"/>
  <c r="U9" i="25"/>
  <c r="U22" i="25"/>
  <c r="U19" i="25"/>
  <c r="U18" i="25"/>
  <c r="U21" i="25"/>
  <c r="U14" i="25"/>
  <c r="U20" i="25"/>
  <c r="U13" i="25"/>
  <c r="U15" i="25"/>
  <c r="U10" i="25"/>
  <c r="W4" i="25"/>
  <c r="V2" i="25"/>
  <c r="V3" i="25"/>
  <c r="V25" i="25" l="1"/>
  <c r="U25" i="25"/>
  <c r="V81" i="25"/>
  <c r="V77" i="25"/>
  <c r="V87" i="25"/>
  <c r="V82" i="25"/>
  <c r="V83" i="25"/>
  <c r="V88" i="25"/>
  <c r="V76" i="25"/>
  <c r="W73" i="25"/>
  <c r="U92" i="25"/>
  <c r="V86" i="25"/>
  <c r="V79" i="25"/>
  <c r="V89" i="25"/>
  <c r="V84" i="25"/>
  <c r="V78" i="25"/>
  <c r="V80" i="25"/>
  <c r="V90" i="25"/>
  <c r="V85" i="25"/>
  <c r="V35" i="25"/>
  <c r="V36" i="25"/>
  <c r="V46" i="25"/>
  <c r="V39" i="25"/>
  <c r="V34" i="25"/>
  <c r="V33" i="25"/>
  <c r="W43" i="25"/>
  <c r="W44" i="25"/>
  <c r="W45" i="25"/>
  <c r="W37" i="25"/>
  <c r="W38" i="25"/>
  <c r="W32" i="25"/>
  <c r="V41" i="25"/>
  <c r="V42" i="25"/>
  <c r="V40" i="25"/>
  <c r="U48" i="25"/>
  <c r="V120" i="25"/>
  <c r="V147" i="25"/>
  <c r="V110" i="25"/>
  <c r="V119" i="25"/>
  <c r="V98" i="25"/>
  <c r="V107" i="25"/>
  <c r="V150" i="25"/>
  <c r="V118" i="25"/>
  <c r="V121" i="25"/>
  <c r="V128" i="25"/>
  <c r="V132" i="25"/>
  <c r="V153" i="25"/>
  <c r="V143" i="25"/>
  <c r="V106" i="25"/>
  <c r="V97" i="25"/>
  <c r="V103" i="25"/>
  <c r="V105" i="25"/>
  <c r="V123" i="25"/>
  <c r="V126" i="25"/>
  <c r="V148" i="25"/>
  <c r="V139" i="25"/>
  <c r="V125" i="25"/>
  <c r="W29" i="25"/>
  <c r="W6" i="25"/>
  <c r="W115" i="25"/>
  <c r="W94" i="25"/>
  <c r="W136" i="25"/>
  <c r="W52" i="25"/>
  <c r="V152" i="25"/>
  <c r="V142" i="25"/>
  <c r="V104" i="25"/>
  <c r="V129" i="25"/>
  <c r="V108" i="25"/>
  <c r="V124" i="25"/>
  <c r="V149" i="25"/>
  <c r="V127" i="25"/>
  <c r="V131" i="25"/>
  <c r="U134" i="25"/>
  <c r="V146" i="25"/>
  <c r="V151" i="25"/>
  <c r="V102" i="25"/>
  <c r="V100" i="25"/>
  <c r="V109" i="25"/>
  <c r="V101" i="25"/>
  <c r="V122" i="25"/>
  <c r="V144" i="25"/>
  <c r="V130" i="25"/>
  <c r="V145" i="25"/>
  <c r="V61" i="25"/>
  <c r="V67" i="25"/>
  <c r="V68" i="25"/>
  <c r="V55" i="25"/>
  <c r="V59" i="25"/>
  <c r="V63" i="25"/>
  <c r="V64" i="25"/>
  <c r="V62" i="25"/>
  <c r="V66" i="25"/>
  <c r="V60" i="25"/>
  <c r="V56" i="25"/>
  <c r="V65" i="25"/>
  <c r="V58" i="25"/>
  <c r="V30" i="25"/>
  <c r="W31" i="25"/>
  <c r="V19" i="25"/>
  <c r="V14" i="25"/>
  <c r="V9" i="25"/>
  <c r="V21" i="25"/>
  <c r="V22" i="25"/>
  <c r="V15" i="25"/>
  <c r="V10" i="25"/>
  <c r="V20" i="25"/>
  <c r="V18" i="25"/>
  <c r="V13" i="25"/>
  <c r="X4" i="25"/>
  <c r="W2" i="25"/>
  <c r="W3" i="25"/>
  <c r="W25" i="25" l="1"/>
  <c r="W81" i="25"/>
  <c r="W89" i="25"/>
  <c r="W86" i="25"/>
  <c r="W84" i="25"/>
  <c r="W88" i="25"/>
  <c r="W77" i="25"/>
  <c r="W85" i="25"/>
  <c r="W82" i="25"/>
  <c r="V92" i="25"/>
  <c r="W87" i="25"/>
  <c r="W83" i="25"/>
  <c r="W78" i="25"/>
  <c r="W76" i="25"/>
  <c r="X73" i="25"/>
  <c r="W90" i="25"/>
  <c r="W79" i="25"/>
  <c r="W80" i="25"/>
  <c r="W35" i="25"/>
  <c r="W46" i="25"/>
  <c r="W36" i="25"/>
  <c r="W41" i="25"/>
  <c r="W40" i="25"/>
  <c r="W42" i="25"/>
  <c r="X32" i="25"/>
  <c r="X37" i="25"/>
  <c r="X38" i="25"/>
  <c r="X43" i="25"/>
  <c r="X44" i="25"/>
  <c r="X45" i="25"/>
  <c r="W39" i="25"/>
  <c r="W34" i="25"/>
  <c r="W33" i="25"/>
  <c r="V48" i="25"/>
  <c r="X52" i="25"/>
  <c r="X136" i="25"/>
  <c r="X29" i="25"/>
  <c r="X6" i="25"/>
  <c r="X94" i="25"/>
  <c r="X115" i="25"/>
  <c r="W153" i="25"/>
  <c r="W139" i="25"/>
  <c r="W131" i="25"/>
  <c r="W132" i="25"/>
  <c r="W144" i="25"/>
  <c r="W105" i="25"/>
  <c r="W123" i="25"/>
  <c r="W122" i="25"/>
  <c r="W143" i="25"/>
  <c r="W120" i="25"/>
  <c r="W150" i="25"/>
  <c r="W110" i="25"/>
  <c r="W130" i="25"/>
  <c r="W126" i="25"/>
  <c r="W104" i="25"/>
  <c r="W128" i="25"/>
  <c r="W121" i="25"/>
  <c r="W118" i="25"/>
  <c r="W109" i="25"/>
  <c r="W100" i="25"/>
  <c r="W142" i="25"/>
  <c r="W147" i="25"/>
  <c r="W97" i="25"/>
  <c r="W148" i="25"/>
  <c r="W119" i="25"/>
  <c r="W106" i="25"/>
  <c r="W127" i="25"/>
  <c r="W129" i="25"/>
  <c r="W145" i="25"/>
  <c r="W124" i="25"/>
  <c r="W102" i="25"/>
  <c r="W146" i="25"/>
  <c r="W152" i="25"/>
  <c r="W101" i="25"/>
  <c r="W103" i="25"/>
  <c r="W151" i="25"/>
  <c r="W107" i="25"/>
  <c r="W149" i="25"/>
  <c r="W125" i="25"/>
  <c r="W98" i="25"/>
  <c r="W108" i="25"/>
  <c r="V134" i="25"/>
  <c r="W60" i="25"/>
  <c r="W58" i="25"/>
  <c r="W59" i="25"/>
  <c r="W65" i="25"/>
  <c r="W64" i="25"/>
  <c r="W67" i="25"/>
  <c r="W63" i="25"/>
  <c r="W62" i="25"/>
  <c r="W55" i="25"/>
  <c r="W68" i="25"/>
  <c r="W66" i="25"/>
  <c r="W61" i="25"/>
  <c r="W56" i="25"/>
  <c r="W30" i="25"/>
  <c r="X31" i="25"/>
  <c r="W22" i="25"/>
  <c r="W18" i="25"/>
  <c r="W13" i="25"/>
  <c r="W20" i="25"/>
  <c r="W21" i="25"/>
  <c r="W14" i="25"/>
  <c r="W9" i="25"/>
  <c r="W15" i="25"/>
  <c r="W10" i="25"/>
  <c r="W19" i="25"/>
  <c r="Y4" i="25"/>
  <c r="X2" i="25"/>
  <c r="X3" i="25"/>
  <c r="X145" i="25" s="1"/>
  <c r="X86" i="25" l="1"/>
  <c r="X89" i="25"/>
  <c r="X79" i="25"/>
  <c r="X81" i="25"/>
  <c r="W92" i="25"/>
  <c r="X83" i="25"/>
  <c r="X88" i="25"/>
  <c r="X78" i="25"/>
  <c r="X82" i="25"/>
  <c r="X85" i="25"/>
  <c r="X87" i="25"/>
  <c r="X76" i="25"/>
  <c r="Y73" i="25"/>
  <c r="X84" i="25"/>
  <c r="X90" i="25"/>
  <c r="X80" i="25"/>
  <c r="X77" i="25"/>
  <c r="X35" i="25"/>
  <c r="X46" i="25"/>
  <c r="X36" i="25"/>
  <c r="X41" i="25"/>
  <c r="Y32" i="25"/>
  <c r="Y37" i="25"/>
  <c r="Y38" i="25"/>
  <c r="Y43" i="25"/>
  <c r="Y44" i="25"/>
  <c r="Y45" i="25"/>
  <c r="X40" i="25"/>
  <c r="X39" i="25"/>
  <c r="X34" i="25"/>
  <c r="X42" i="25"/>
  <c r="X33" i="25"/>
  <c r="W48" i="25"/>
  <c r="X150" i="25"/>
  <c r="X131" i="25"/>
  <c r="X108" i="25"/>
  <c r="X130" i="25"/>
  <c r="X119" i="25"/>
  <c r="X151" i="25"/>
  <c r="X152" i="25"/>
  <c r="X123" i="25"/>
  <c r="X104" i="25"/>
  <c r="X102" i="25"/>
  <c r="W134" i="25"/>
  <c r="X120" i="25"/>
  <c r="X109" i="25"/>
  <c r="X103" i="25"/>
  <c r="X106" i="25"/>
  <c r="X118" i="25"/>
  <c r="X149" i="25"/>
  <c r="X129" i="25"/>
  <c r="X139" i="25"/>
  <c r="X147" i="25"/>
  <c r="X105" i="25"/>
  <c r="X148" i="25"/>
  <c r="X97" i="25"/>
  <c r="X107" i="25"/>
  <c r="X126" i="25"/>
  <c r="X124" i="25"/>
  <c r="X143" i="25"/>
  <c r="X144" i="25"/>
  <c r="X132" i="25"/>
  <c r="X125" i="25"/>
  <c r="Y94" i="25"/>
  <c r="Y52" i="25"/>
  <c r="Y136" i="25"/>
  <c r="Y29" i="25"/>
  <c r="Y6" i="25"/>
  <c r="Y115" i="25"/>
  <c r="X146" i="25"/>
  <c r="X101" i="25"/>
  <c r="X110" i="25"/>
  <c r="X153" i="25"/>
  <c r="X100" i="25"/>
  <c r="X127" i="25"/>
  <c r="X122" i="25"/>
  <c r="X128" i="25"/>
  <c r="X98" i="25"/>
  <c r="X142" i="25"/>
  <c r="X121" i="25"/>
  <c r="X59" i="25"/>
  <c r="X67" i="25"/>
  <c r="X65" i="25"/>
  <c r="X58" i="25"/>
  <c r="X62" i="25"/>
  <c r="X68" i="25"/>
  <c r="X63" i="25"/>
  <c r="X55" i="25"/>
  <c r="X64" i="25"/>
  <c r="X61" i="25"/>
  <c r="X66" i="25"/>
  <c r="X56" i="25"/>
  <c r="X60" i="25"/>
  <c r="X30" i="25"/>
  <c r="Y31" i="25"/>
  <c r="X20" i="25"/>
  <c r="X15" i="25"/>
  <c r="X19" i="25"/>
  <c r="X18" i="25"/>
  <c r="X22" i="25"/>
  <c r="X14" i="25"/>
  <c r="X13" i="25"/>
  <c r="X21" i="25"/>
  <c r="X10" i="25"/>
  <c r="X9" i="25"/>
  <c r="Z4" i="25"/>
  <c r="Y2" i="25"/>
  <c r="Y3" i="25"/>
  <c r="Y108" i="25" s="1"/>
  <c r="X25" i="25" l="1"/>
  <c r="Y87" i="25"/>
  <c r="Y76" i="25"/>
  <c r="Y85" i="25"/>
  <c r="Y84" i="25"/>
  <c r="Z73" i="25"/>
  <c r="Y89" i="25"/>
  <c r="Y88" i="25"/>
  <c r="Y86" i="25"/>
  <c r="Y78" i="25"/>
  <c r="Y90" i="25"/>
  <c r="Y83" i="25"/>
  <c r="Y80" i="25"/>
  <c r="X92" i="25"/>
  <c r="Y81" i="25"/>
  <c r="Y82" i="25"/>
  <c r="Y77" i="25"/>
  <c r="Y79" i="25"/>
  <c r="Y35" i="25"/>
  <c r="Y36" i="25"/>
  <c r="Y46" i="25"/>
  <c r="Y39" i="25"/>
  <c r="Y34" i="25"/>
  <c r="Y42" i="25"/>
  <c r="Y33" i="25"/>
  <c r="Y41" i="25"/>
  <c r="Z32" i="25"/>
  <c r="Z37" i="25"/>
  <c r="Z38" i="25"/>
  <c r="Z44" i="25"/>
  <c r="Z43" i="25"/>
  <c r="Z45" i="25"/>
  <c r="Y40" i="25"/>
  <c r="X48" i="25"/>
  <c r="Z6" i="25"/>
  <c r="Z115" i="25"/>
  <c r="Z94" i="25"/>
  <c r="Z52" i="25"/>
  <c r="Z29" i="25"/>
  <c r="Z136" i="25"/>
  <c r="Y153" i="25"/>
  <c r="Y107" i="25"/>
  <c r="Y145" i="25"/>
  <c r="Y101" i="25"/>
  <c r="Y124" i="25"/>
  <c r="Y130" i="25"/>
  <c r="Y126" i="25"/>
  <c r="Y142" i="25"/>
  <c r="Y148" i="25"/>
  <c r="Y118" i="25"/>
  <c r="Y147" i="25"/>
  <c r="Y128" i="25"/>
  <c r="Y123" i="25"/>
  <c r="Y97" i="25"/>
  <c r="Y149" i="25"/>
  <c r="Y152" i="25"/>
  <c r="Y151" i="25"/>
  <c r="Y100" i="25"/>
  <c r="Y98" i="25"/>
  <c r="Y150" i="25"/>
  <c r="Y125" i="25"/>
  <c r="Y132" i="25"/>
  <c r="Y105" i="25"/>
  <c r="Y106" i="25"/>
  <c r="Y143" i="25"/>
  <c r="Y144" i="25"/>
  <c r="Y146" i="25"/>
  <c r="Y102" i="25"/>
  <c r="Y110" i="25"/>
  <c r="X134" i="25"/>
  <c r="Y120" i="25"/>
  <c r="Y109" i="25"/>
  <c r="Y122" i="25"/>
  <c r="Y103" i="25"/>
  <c r="Y129" i="25"/>
  <c r="Y131" i="25"/>
  <c r="Y119" i="25"/>
  <c r="Y127" i="25"/>
  <c r="Y139" i="25"/>
  <c r="Y121" i="25"/>
  <c r="Y104" i="25"/>
  <c r="Y59" i="25"/>
  <c r="Y56" i="25"/>
  <c r="Y62" i="25"/>
  <c r="Y58" i="25"/>
  <c r="Y66" i="25"/>
  <c r="Y55" i="25"/>
  <c r="Y63" i="25"/>
  <c r="Y65" i="25"/>
  <c r="Y64" i="25"/>
  <c r="Y61" i="25"/>
  <c r="Y67" i="25"/>
  <c r="Y68" i="25"/>
  <c r="Y60" i="25"/>
  <c r="Y30" i="25"/>
  <c r="Z31" i="25"/>
  <c r="Y9" i="25"/>
  <c r="Y22" i="25"/>
  <c r="Y19" i="25"/>
  <c r="Y18" i="25"/>
  <c r="Y21" i="25"/>
  <c r="Y14" i="25"/>
  <c r="Y20" i="25"/>
  <c r="Y13" i="25"/>
  <c r="Y15" i="25"/>
  <c r="Y10" i="25"/>
  <c r="AA4" i="25"/>
  <c r="Z2" i="25"/>
  <c r="Z3" i="25"/>
  <c r="Z129" i="25" s="1"/>
  <c r="Y25" i="25" l="1"/>
  <c r="Z85" i="25"/>
  <c r="Z83" i="25"/>
  <c r="Z90" i="25"/>
  <c r="AA73" i="25"/>
  <c r="Z80" i="25"/>
  <c r="Z81" i="25"/>
  <c r="Z87" i="25"/>
  <c r="Z84" i="25"/>
  <c r="Y92" i="25"/>
  <c r="Z82" i="25"/>
  <c r="Z86" i="25"/>
  <c r="Z79" i="25"/>
  <c r="Z88" i="25"/>
  <c r="Z78" i="25"/>
  <c r="Z77" i="25"/>
  <c r="Z76" i="25"/>
  <c r="Z89" i="25"/>
  <c r="Z35" i="25"/>
  <c r="Z46" i="25"/>
  <c r="Z36" i="25"/>
  <c r="Z34" i="25"/>
  <c r="Z39" i="25"/>
  <c r="Z33" i="25"/>
  <c r="AA32" i="25"/>
  <c r="AA38" i="25"/>
  <c r="AA43" i="25"/>
  <c r="AA44" i="25"/>
  <c r="AA45" i="25"/>
  <c r="AA37" i="25"/>
  <c r="Z41" i="25"/>
  <c r="Z42" i="25"/>
  <c r="Z40" i="25"/>
  <c r="Y48" i="25"/>
  <c r="Z153" i="25"/>
  <c r="Z100" i="25"/>
  <c r="Z118" i="25"/>
  <c r="Z108" i="25"/>
  <c r="Z149" i="25"/>
  <c r="Z148" i="25"/>
  <c r="Z127" i="25"/>
  <c r="Z145" i="25"/>
  <c r="AA29" i="25"/>
  <c r="AA6" i="25"/>
  <c r="AA115" i="25"/>
  <c r="AA94" i="25"/>
  <c r="AA136" i="25"/>
  <c r="AA52" i="25"/>
  <c r="Z120" i="25"/>
  <c r="Z152" i="25"/>
  <c r="Z98" i="25"/>
  <c r="Z122" i="25"/>
  <c r="Z109" i="25"/>
  <c r="Z101" i="25"/>
  <c r="Z106" i="25"/>
  <c r="Z121" i="25"/>
  <c r="Z125" i="25"/>
  <c r="Z124" i="25"/>
  <c r="Z139" i="25"/>
  <c r="Y134" i="25"/>
  <c r="Z147" i="25"/>
  <c r="Z110" i="25"/>
  <c r="Z103" i="25"/>
  <c r="Z104" i="25"/>
  <c r="Z107" i="25"/>
  <c r="Z132" i="25"/>
  <c r="Z97" i="25"/>
  <c r="Z126" i="25"/>
  <c r="Z128" i="25"/>
  <c r="Z151" i="25"/>
  <c r="Z150" i="25"/>
  <c r="Z102" i="25"/>
  <c r="Z123" i="25"/>
  <c r="Z146" i="25"/>
  <c r="Z105" i="25"/>
  <c r="Z144" i="25"/>
  <c r="Z131" i="25"/>
  <c r="Z130" i="25"/>
  <c r="Z119" i="25"/>
  <c r="Z142" i="25"/>
  <c r="Z143" i="25"/>
  <c r="Z64" i="25"/>
  <c r="Z60" i="25"/>
  <c r="Z62" i="25"/>
  <c r="Z63" i="25"/>
  <c r="Z61" i="25"/>
  <c r="Z67" i="25"/>
  <c r="Z56" i="25"/>
  <c r="Z55" i="25"/>
  <c r="Z59" i="25"/>
  <c r="Z58" i="25"/>
  <c r="Z66" i="25"/>
  <c r="Z68" i="25"/>
  <c r="Z65" i="25"/>
  <c r="Z30" i="25"/>
  <c r="AA31" i="25"/>
  <c r="Z19" i="25"/>
  <c r="Z15" i="25"/>
  <c r="Z10" i="25"/>
  <c r="Z21" i="25"/>
  <c r="Z22" i="25"/>
  <c r="Z20" i="25"/>
  <c r="Z18" i="25"/>
  <c r="Z13" i="25"/>
  <c r="Z14" i="25"/>
  <c r="Z9" i="25"/>
  <c r="AB4" i="25"/>
  <c r="AA2" i="25"/>
  <c r="AA3" i="25"/>
  <c r="AA25" i="25" l="1"/>
  <c r="AB73" i="25"/>
  <c r="AA90" i="25"/>
  <c r="AA84" i="25"/>
  <c r="AA79" i="25"/>
  <c r="AA77" i="25"/>
  <c r="AA89" i="25"/>
  <c r="AA78" i="25"/>
  <c r="AA76" i="25"/>
  <c r="AA81" i="25"/>
  <c r="AA88" i="25"/>
  <c r="AA83" i="25"/>
  <c r="AA80" i="25"/>
  <c r="AA82" i="25"/>
  <c r="Z92" i="25"/>
  <c r="AA85" i="25"/>
  <c r="AA87" i="25"/>
  <c r="AA86" i="25"/>
  <c r="AA35" i="25"/>
  <c r="AA46" i="25"/>
  <c r="AA36" i="25"/>
  <c r="AA41" i="25"/>
  <c r="AB32" i="25"/>
  <c r="AB37" i="25"/>
  <c r="AB38" i="25"/>
  <c r="AB43" i="25"/>
  <c r="AB44" i="25"/>
  <c r="AB45" i="25"/>
  <c r="AA39" i="25"/>
  <c r="AA33" i="25"/>
  <c r="AA40" i="25"/>
  <c r="AA42" i="25"/>
  <c r="AA34" i="25"/>
  <c r="Z48" i="25"/>
  <c r="Z25" i="25"/>
  <c r="AA120" i="25"/>
  <c r="AA152" i="25"/>
  <c r="AA124" i="25"/>
  <c r="AA131" i="25"/>
  <c r="AA103" i="25"/>
  <c r="AA118" i="25"/>
  <c r="AA128" i="25"/>
  <c r="AA129" i="25"/>
  <c r="AA144" i="25"/>
  <c r="AA109" i="25"/>
  <c r="AA106" i="25"/>
  <c r="AA147" i="25"/>
  <c r="AA132" i="25"/>
  <c r="AA122" i="25"/>
  <c r="AA151" i="25"/>
  <c r="AA97" i="25"/>
  <c r="AA126" i="25"/>
  <c r="AA127" i="25"/>
  <c r="AA125" i="25"/>
  <c r="AA149" i="25"/>
  <c r="AA98" i="25"/>
  <c r="AA108" i="25"/>
  <c r="AA150" i="25"/>
  <c r="AA143" i="25"/>
  <c r="AA104" i="25"/>
  <c r="AA101" i="25"/>
  <c r="AA123" i="25"/>
  <c r="AA130" i="25"/>
  <c r="AA142" i="25"/>
  <c r="AA119" i="25"/>
  <c r="AA145" i="25"/>
  <c r="AA100" i="25"/>
  <c r="AB52" i="25"/>
  <c r="AB136" i="25"/>
  <c r="AB29" i="25"/>
  <c r="AB6" i="25"/>
  <c r="AB115" i="25"/>
  <c r="AB94" i="25"/>
  <c r="Z134" i="25"/>
  <c r="AA153" i="25"/>
  <c r="AA110" i="25"/>
  <c r="AA107" i="25"/>
  <c r="AA105" i="25"/>
  <c r="AA121" i="25"/>
  <c r="AA102" i="25"/>
  <c r="AA146" i="25"/>
  <c r="AA148" i="25"/>
  <c r="AA139" i="25"/>
  <c r="AA66" i="25"/>
  <c r="AA67" i="25"/>
  <c r="AA58" i="25"/>
  <c r="AA55" i="25"/>
  <c r="AA56" i="25"/>
  <c r="AA68" i="25"/>
  <c r="AA61" i="25"/>
  <c r="AA65" i="25"/>
  <c r="AA64" i="25"/>
  <c r="AA62" i="25"/>
  <c r="AA59" i="25"/>
  <c r="AA63" i="25"/>
  <c r="AA60" i="25"/>
  <c r="AA30" i="25"/>
  <c r="AB31" i="25"/>
  <c r="AA22" i="25"/>
  <c r="AA18" i="25"/>
  <c r="AA13" i="25"/>
  <c r="AA20" i="25"/>
  <c r="AA21" i="25"/>
  <c r="AA14" i="25"/>
  <c r="AA9" i="25"/>
  <c r="AA15" i="25"/>
  <c r="AA10" i="25"/>
  <c r="AA19" i="25"/>
  <c r="AC4" i="25"/>
  <c r="AB2" i="25"/>
  <c r="AB3" i="25"/>
  <c r="AB25" i="25" l="1"/>
  <c r="AC73" i="25"/>
  <c r="AB90" i="25"/>
  <c r="AB84" i="25"/>
  <c r="AB80" i="25"/>
  <c r="AB76" i="25"/>
  <c r="AA92" i="25"/>
  <c r="AB89" i="25"/>
  <c r="AB83" i="25"/>
  <c r="AB85" i="25"/>
  <c r="AB88" i="25"/>
  <c r="AB79" i="25"/>
  <c r="AB81" i="25"/>
  <c r="AB77" i="25"/>
  <c r="AB86" i="25"/>
  <c r="AB87" i="25"/>
  <c r="AB78" i="25"/>
  <c r="AB82" i="25"/>
  <c r="AB35" i="25"/>
  <c r="AB36" i="25"/>
  <c r="AB46" i="25"/>
  <c r="AB39" i="25"/>
  <c r="AB34" i="25"/>
  <c r="AB42" i="25"/>
  <c r="AB33" i="25"/>
  <c r="AB41" i="25"/>
  <c r="AC32" i="25"/>
  <c r="AC37" i="25"/>
  <c r="AC38" i="25"/>
  <c r="AC43" i="25"/>
  <c r="AC44" i="25"/>
  <c r="AC45" i="25"/>
  <c r="AB40" i="25"/>
  <c r="AA48" i="25"/>
  <c r="AB152" i="25"/>
  <c r="AB124" i="25"/>
  <c r="AB97" i="25"/>
  <c r="AB105" i="25"/>
  <c r="AB128" i="25"/>
  <c r="AB103" i="25"/>
  <c r="AB130" i="25"/>
  <c r="AB119" i="25"/>
  <c r="AB98" i="25"/>
  <c r="AB120" i="25"/>
  <c r="AB146" i="25"/>
  <c r="AB110" i="25"/>
  <c r="AB132" i="25"/>
  <c r="AB104" i="25"/>
  <c r="AB129" i="25"/>
  <c r="AB131" i="25"/>
  <c r="AB123" i="25"/>
  <c r="AB151" i="25"/>
  <c r="AB139" i="25"/>
  <c r="AB118" i="25"/>
  <c r="AC94" i="25"/>
  <c r="AC52" i="25"/>
  <c r="AC136" i="25"/>
  <c r="AC29" i="25"/>
  <c r="AC6" i="25"/>
  <c r="AC115" i="25"/>
  <c r="AB150" i="25"/>
  <c r="AB153" i="25"/>
  <c r="AB108" i="25"/>
  <c r="AB149" i="25"/>
  <c r="AB109" i="25"/>
  <c r="AB122" i="25"/>
  <c r="AB145" i="25"/>
  <c r="AB125" i="25"/>
  <c r="AB121" i="25"/>
  <c r="AB148" i="25"/>
  <c r="AB147" i="25"/>
  <c r="AB142" i="25"/>
  <c r="AB106" i="25"/>
  <c r="AB143" i="25"/>
  <c r="AB107" i="25"/>
  <c r="AB101" i="25"/>
  <c r="AB126" i="25"/>
  <c r="AB127" i="25"/>
  <c r="AB100" i="25"/>
  <c r="AB144" i="25"/>
  <c r="AB102" i="25"/>
  <c r="AA134" i="25"/>
  <c r="AB59" i="25"/>
  <c r="AB67" i="25"/>
  <c r="AB62" i="25"/>
  <c r="AB60" i="25"/>
  <c r="AB65" i="25"/>
  <c r="AB63" i="25"/>
  <c r="AB58" i="25"/>
  <c r="AB66" i="25"/>
  <c r="AB56" i="25"/>
  <c r="AB55" i="25"/>
  <c r="AB61" i="25"/>
  <c r="AB68" i="25"/>
  <c r="AB64" i="25"/>
  <c r="AB30" i="25"/>
  <c r="AC31" i="25"/>
  <c r="AB20" i="25"/>
  <c r="AB15" i="25"/>
  <c r="AB19" i="25"/>
  <c r="AB18" i="25"/>
  <c r="AB22" i="25"/>
  <c r="AB14" i="25"/>
  <c r="AB13" i="25"/>
  <c r="AB21" i="25"/>
  <c r="AB10" i="25"/>
  <c r="AB9" i="25"/>
  <c r="AD4" i="25"/>
  <c r="AC2" i="25"/>
  <c r="AC3" i="25"/>
  <c r="AC147" i="25" s="1"/>
  <c r="AB92" i="25" l="1"/>
  <c r="AC77" i="25"/>
  <c r="AC81" i="25"/>
  <c r="AC76" i="25"/>
  <c r="AC87" i="25"/>
  <c r="AD73" i="25"/>
  <c r="AC88" i="25"/>
  <c r="AC78" i="25"/>
  <c r="AC84" i="25"/>
  <c r="AC83" i="25"/>
  <c r="AC86" i="25"/>
  <c r="AC80" i="25"/>
  <c r="AC85" i="25"/>
  <c r="AC90" i="25"/>
  <c r="AC89" i="25"/>
  <c r="AC82" i="25"/>
  <c r="AC79" i="25"/>
  <c r="AC35" i="25"/>
  <c r="AC36" i="25"/>
  <c r="AC46" i="25"/>
  <c r="AC41" i="25"/>
  <c r="AC40" i="25"/>
  <c r="AC39" i="25"/>
  <c r="AC34" i="25"/>
  <c r="AD32" i="25"/>
  <c r="AD37" i="25"/>
  <c r="AD38" i="25"/>
  <c r="AD44" i="25"/>
  <c r="AD43" i="25"/>
  <c r="AD45" i="25"/>
  <c r="AC42" i="25"/>
  <c r="AC33" i="25"/>
  <c r="AB48" i="25"/>
  <c r="AC120" i="25"/>
  <c r="AC153" i="25"/>
  <c r="AC105" i="25"/>
  <c r="AC132" i="25"/>
  <c r="AC129" i="25"/>
  <c r="AC149" i="25"/>
  <c r="AC145" i="25"/>
  <c r="AC100" i="25"/>
  <c r="AC123" i="25"/>
  <c r="AB134" i="25"/>
  <c r="AC152" i="25"/>
  <c r="AC146" i="25"/>
  <c r="AC103" i="25"/>
  <c r="AC127" i="25"/>
  <c r="AC107" i="25"/>
  <c r="AC124" i="25"/>
  <c r="AC143" i="25"/>
  <c r="AC139" i="25"/>
  <c r="AC98" i="25"/>
  <c r="AC121" i="25"/>
  <c r="AC108" i="25"/>
  <c r="AD6" i="25"/>
  <c r="AD115" i="25"/>
  <c r="AD94" i="25"/>
  <c r="AD52" i="25"/>
  <c r="AD136" i="25"/>
  <c r="AD29" i="25"/>
  <c r="AC142" i="25"/>
  <c r="AC109" i="25"/>
  <c r="AC101" i="25"/>
  <c r="AC144" i="25"/>
  <c r="AC128" i="25"/>
  <c r="AC122" i="25"/>
  <c r="AC126" i="25"/>
  <c r="AC118" i="25"/>
  <c r="AC110" i="25"/>
  <c r="AC106" i="25"/>
  <c r="AC104" i="25"/>
  <c r="AC150" i="25"/>
  <c r="AC131" i="25"/>
  <c r="AC97" i="25"/>
  <c r="AC151" i="25"/>
  <c r="AC119" i="25"/>
  <c r="AC130" i="25"/>
  <c r="AC148" i="25"/>
  <c r="AC125" i="25"/>
  <c r="AC102" i="25"/>
  <c r="AC62" i="25"/>
  <c r="AC67" i="25"/>
  <c r="AC65" i="25"/>
  <c r="AC58" i="25"/>
  <c r="AC55" i="25"/>
  <c r="AC64" i="25"/>
  <c r="AC63" i="25"/>
  <c r="AC68" i="25"/>
  <c r="AC61" i="25"/>
  <c r="AC60" i="25"/>
  <c r="AC66" i="25"/>
  <c r="AC59" i="25"/>
  <c r="AC56" i="25"/>
  <c r="AC30" i="25"/>
  <c r="AD31" i="25"/>
  <c r="AC9" i="25"/>
  <c r="AC22" i="25"/>
  <c r="AC19" i="25"/>
  <c r="AC18" i="25"/>
  <c r="AC21" i="25"/>
  <c r="AC14" i="25"/>
  <c r="AC20" i="25"/>
  <c r="AC13" i="25"/>
  <c r="AC15" i="25"/>
  <c r="AC10" i="25"/>
  <c r="AE4" i="25"/>
  <c r="AD2" i="25"/>
  <c r="AD3" i="25"/>
  <c r="AD127" i="25" s="1"/>
  <c r="AC92" i="25" l="1"/>
  <c r="AD86" i="25"/>
  <c r="AD77" i="25"/>
  <c r="AD87" i="25"/>
  <c r="AD76" i="25"/>
  <c r="AE73" i="25"/>
  <c r="AD81" i="25"/>
  <c r="AD80" i="25"/>
  <c r="AD84" i="25"/>
  <c r="AD88" i="25"/>
  <c r="AD82" i="25"/>
  <c r="AD79" i="25"/>
  <c r="AD89" i="25"/>
  <c r="AD78" i="25"/>
  <c r="AD83" i="25"/>
  <c r="AD85" i="25"/>
  <c r="AD90" i="25"/>
  <c r="AD35" i="25"/>
  <c r="AD46" i="25"/>
  <c r="AD36" i="25"/>
  <c r="AD41" i="25"/>
  <c r="AD40" i="25"/>
  <c r="AD39" i="25"/>
  <c r="AD34" i="25"/>
  <c r="AE43" i="25"/>
  <c r="AE44" i="25"/>
  <c r="AE45" i="25"/>
  <c r="AE32" i="25"/>
  <c r="AE38" i="25"/>
  <c r="AE37" i="25"/>
  <c r="AD42" i="25"/>
  <c r="AD33" i="25"/>
  <c r="AC48" i="25"/>
  <c r="AC25" i="25"/>
  <c r="AD120" i="25"/>
  <c r="AD152" i="25"/>
  <c r="AD103" i="25"/>
  <c r="AD108" i="25"/>
  <c r="AD148" i="25"/>
  <c r="AD124" i="25"/>
  <c r="AD102" i="25"/>
  <c r="AD149" i="25"/>
  <c r="AD126" i="25"/>
  <c r="AD123" i="25"/>
  <c r="AD104" i="25"/>
  <c r="AD150" i="25"/>
  <c r="AD143" i="25"/>
  <c r="AD109" i="25"/>
  <c r="AD101" i="25"/>
  <c r="AD132" i="25"/>
  <c r="AD98" i="25"/>
  <c r="AD129" i="25"/>
  <c r="AD145" i="25"/>
  <c r="AD118" i="25"/>
  <c r="AD128" i="25"/>
  <c r="AD142" i="25"/>
  <c r="AD153" i="25"/>
  <c r="AD107" i="25"/>
  <c r="AD122" i="25"/>
  <c r="AD110" i="25"/>
  <c r="AD121" i="25"/>
  <c r="AD139" i="25"/>
  <c r="AD131" i="25"/>
  <c r="AD151" i="25"/>
  <c r="AE29" i="25"/>
  <c r="AE6" i="25"/>
  <c r="AE115" i="25"/>
  <c r="AE94" i="25"/>
  <c r="AE52" i="25"/>
  <c r="AE136" i="25"/>
  <c r="AD146" i="25"/>
  <c r="AD147" i="25"/>
  <c r="AD105" i="25"/>
  <c r="AD100" i="25"/>
  <c r="AD97" i="25"/>
  <c r="AD106" i="25"/>
  <c r="AD130" i="25"/>
  <c r="AD119" i="25"/>
  <c r="AD125" i="25"/>
  <c r="AD144" i="25"/>
  <c r="AC134" i="25"/>
  <c r="AD59" i="25"/>
  <c r="AD66" i="25"/>
  <c r="AD65" i="25"/>
  <c r="AD60" i="25"/>
  <c r="AD62" i="25"/>
  <c r="AD63" i="25"/>
  <c r="AD58" i="25"/>
  <c r="AD56" i="25"/>
  <c r="AD68" i="25"/>
  <c r="AD61" i="25"/>
  <c r="AD55" i="25"/>
  <c r="AD67" i="25"/>
  <c r="AD64" i="25"/>
  <c r="AD30" i="25"/>
  <c r="AE31" i="25"/>
  <c r="AD19" i="25"/>
  <c r="AD15" i="25"/>
  <c r="AD10" i="25"/>
  <c r="AD9" i="25"/>
  <c r="AD21" i="25"/>
  <c r="AD22" i="25"/>
  <c r="AD20" i="25"/>
  <c r="AD18" i="25"/>
  <c r="AD14" i="25"/>
  <c r="AD13" i="25"/>
  <c r="AF4" i="25"/>
  <c r="AE2" i="25"/>
  <c r="AE3" i="25"/>
  <c r="AE36" i="25" s="1"/>
  <c r="AD25" i="25" l="1"/>
  <c r="AE90" i="25"/>
  <c r="AE89" i="25"/>
  <c r="AE83" i="25"/>
  <c r="AE78" i="25"/>
  <c r="AE81" i="25"/>
  <c r="AE76" i="25"/>
  <c r="AF73" i="25"/>
  <c r="AE88" i="25"/>
  <c r="AE85" i="25"/>
  <c r="AE86" i="25"/>
  <c r="AE82" i="25"/>
  <c r="AE84" i="25"/>
  <c r="AE80" i="25"/>
  <c r="AD92" i="25"/>
  <c r="AE87" i="25"/>
  <c r="AE79" i="25"/>
  <c r="AE77" i="25"/>
  <c r="AE35" i="25"/>
  <c r="AE46" i="25"/>
  <c r="AE33" i="25"/>
  <c r="AE39" i="25"/>
  <c r="AE40" i="25"/>
  <c r="AE34" i="25"/>
  <c r="AE42" i="25"/>
  <c r="AF32" i="25"/>
  <c r="AF37" i="25"/>
  <c r="AF38" i="25"/>
  <c r="AF43" i="25"/>
  <c r="AF44" i="25"/>
  <c r="AF45" i="25"/>
  <c r="AE41" i="25"/>
  <c r="AD48" i="25"/>
  <c r="AE147" i="25"/>
  <c r="AE149" i="25"/>
  <c r="AE107" i="25"/>
  <c r="AE110" i="25"/>
  <c r="AE123" i="25"/>
  <c r="AE122" i="25"/>
  <c r="AE150" i="25"/>
  <c r="AE127" i="25"/>
  <c r="AE145" i="25"/>
  <c r="AE120" i="25"/>
  <c r="AE153" i="25"/>
  <c r="AE128" i="25"/>
  <c r="AE105" i="25"/>
  <c r="AE104" i="25"/>
  <c r="AE121" i="25"/>
  <c r="AE143" i="25"/>
  <c r="AE148" i="25"/>
  <c r="AE151" i="25"/>
  <c r="AE139" i="25"/>
  <c r="AE109" i="25"/>
  <c r="AE146" i="25"/>
  <c r="AE129" i="25"/>
  <c r="AE106" i="25"/>
  <c r="AE132" i="25"/>
  <c r="AE101" i="25"/>
  <c r="AE125" i="25"/>
  <c r="AE126" i="25"/>
  <c r="AE144" i="25"/>
  <c r="AE100" i="25"/>
  <c r="AE98" i="25"/>
  <c r="AF52" i="25"/>
  <c r="AF136" i="25"/>
  <c r="AF29" i="25"/>
  <c r="AF6" i="25"/>
  <c r="AF94" i="25"/>
  <c r="AF115" i="25"/>
  <c r="AE142" i="25"/>
  <c r="AE118" i="25"/>
  <c r="AE103" i="25"/>
  <c r="AE97" i="25"/>
  <c r="AE131" i="25"/>
  <c r="AE152" i="25"/>
  <c r="AE130" i="25"/>
  <c r="AE119" i="25"/>
  <c r="AE124" i="25"/>
  <c r="AE102" i="25"/>
  <c r="AE108" i="25"/>
  <c r="AD134" i="25"/>
  <c r="AE61" i="25"/>
  <c r="AE56" i="25"/>
  <c r="AE66" i="25"/>
  <c r="AE59" i="25"/>
  <c r="AE65" i="25"/>
  <c r="AE64" i="25"/>
  <c r="AE67" i="25"/>
  <c r="AE62" i="25"/>
  <c r="AE63" i="25"/>
  <c r="AE60" i="25"/>
  <c r="AE55" i="25"/>
  <c r="AE68" i="25"/>
  <c r="AE58" i="25"/>
  <c r="AF31" i="25"/>
  <c r="AE30" i="25"/>
  <c r="AE22" i="25"/>
  <c r="AE18" i="25"/>
  <c r="AE20" i="25"/>
  <c r="AE21" i="25"/>
  <c r="AE14" i="25"/>
  <c r="AE13" i="25"/>
  <c r="AE15" i="25"/>
  <c r="AE10" i="25"/>
  <c r="AE9" i="25"/>
  <c r="AE19" i="25"/>
  <c r="AG4" i="25"/>
  <c r="AF2" i="25"/>
  <c r="AF3" i="25"/>
  <c r="AF142" i="25" s="1"/>
  <c r="AF88" i="25" l="1"/>
  <c r="AF85" i="25"/>
  <c r="AF77" i="25"/>
  <c r="AF81" i="25"/>
  <c r="AF87" i="25"/>
  <c r="AF86" i="25"/>
  <c r="AF82" i="25"/>
  <c r="AG73" i="25"/>
  <c r="AF90" i="25"/>
  <c r="AF83" i="25"/>
  <c r="AF79" i="25"/>
  <c r="AF76" i="25"/>
  <c r="AE92" i="25"/>
  <c r="AF89" i="25"/>
  <c r="AF84" i="25"/>
  <c r="AF78" i="25"/>
  <c r="AF80" i="25"/>
  <c r="AF35" i="25"/>
  <c r="AF36" i="25"/>
  <c r="AF46" i="25"/>
  <c r="AF39" i="25"/>
  <c r="AF34" i="25"/>
  <c r="AF42" i="25"/>
  <c r="AF33" i="25"/>
  <c r="AG32" i="25"/>
  <c r="AG37" i="25"/>
  <c r="AG38" i="25"/>
  <c r="AG43" i="25"/>
  <c r="AG44" i="25"/>
  <c r="AG45" i="25"/>
  <c r="AF41" i="25"/>
  <c r="AF40" i="25"/>
  <c r="AE48" i="25"/>
  <c r="AE25" i="25"/>
  <c r="AF152" i="25"/>
  <c r="AF107" i="25"/>
  <c r="AF106" i="25"/>
  <c r="AF123" i="25"/>
  <c r="AF146" i="25"/>
  <c r="AF119" i="25"/>
  <c r="AF130" i="25"/>
  <c r="AF126" i="25"/>
  <c r="AF144" i="25"/>
  <c r="AF128" i="25"/>
  <c r="AF100" i="25"/>
  <c r="AF153" i="25"/>
  <c r="AF104" i="25"/>
  <c r="AF97" i="25"/>
  <c r="AF121" i="25"/>
  <c r="AF109" i="25"/>
  <c r="AF125" i="25"/>
  <c r="AF149" i="25"/>
  <c r="AF127" i="25"/>
  <c r="AF102" i="25"/>
  <c r="AF118" i="25"/>
  <c r="AF120" i="25"/>
  <c r="AF150" i="25"/>
  <c r="AF103" i="25"/>
  <c r="AF108" i="25"/>
  <c r="AF105" i="25"/>
  <c r="AF124" i="25"/>
  <c r="AF143" i="25"/>
  <c r="AF139" i="25"/>
  <c r="AF132" i="25"/>
  <c r="AE134" i="25"/>
  <c r="AG94" i="25"/>
  <c r="AG52" i="25"/>
  <c r="AG136" i="25"/>
  <c r="AG29" i="25"/>
  <c r="AG115" i="25"/>
  <c r="AG6" i="25"/>
  <c r="AF147" i="25"/>
  <c r="AF110" i="25"/>
  <c r="AF151" i="25"/>
  <c r="AF131" i="25"/>
  <c r="AF101" i="25"/>
  <c r="AF122" i="25"/>
  <c r="AF129" i="25"/>
  <c r="AF145" i="25"/>
  <c r="AF98" i="25"/>
  <c r="AF148" i="25"/>
  <c r="AF67" i="25"/>
  <c r="AF64" i="25"/>
  <c r="AF59" i="25"/>
  <c r="AF65" i="25"/>
  <c r="AF68" i="25"/>
  <c r="AF62" i="25"/>
  <c r="AF58" i="25"/>
  <c r="AF63" i="25"/>
  <c r="AF60" i="25"/>
  <c r="AF66" i="25"/>
  <c r="AF55" i="25"/>
  <c r="AF61" i="25"/>
  <c r="AF56" i="25"/>
  <c r="AG31" i="25"/>
  <c r="AF30" i="25"/>
  <c r="AF20" i="25"/>
  <c r="AF15" i="25"/>
  <c r="AF19" i="25"/>
  <c r="AF18" i="25"/>
  <c r="AF22" i="25"/>
  <c r="AF14" i="25"/>
  <c r="AF13" i="25"/>
  <c r="AF21" i="25"/>
  <c r="AF10" i="25"/>
  <c r="AF9" i="25"/>
  <c r="AH4" i="25"/>
  <c r="AG2" i="25"/>
  <c r="AG3" i="25"/>
  <c r="AG98" i="25" s="1"/>
  <c r="AF92" i="25" l="1"/>
  <c r="AG87" i="25"/>
  <c r="AG89" i="25"/>
  <c r="AG78" i="25"/>
  <c r="AG86" i="25"/>
  <c r="AH73" i="25"/>
  <c r="AG81" i="25"/>
  <c r="AG82" i="25"/>
  <c r="AG76" i="25"/>
  <c r="AG88" i="25"/>
  <c r="AG90" i="25"/>
  <c r="AG80" i="25"/>
  <c r="AG84" i="25"/>
  <c r="AG83" i="25"/>
  <c r="AG85" i="25"/>
  <c r="AG77" i="25"/>
  <c r="AG79" i="25"/>
  <c r="AG35" i="25"/>
  <c r="AG36" i="25"/>
  <c r="AG46" i="25"/>
  <c r="AG40" i="25"/>
  <c r="AH32" i="25"/>
  <c r="AH37" i="25"/>
  <c r="AH38" i="25"/>
  <c r="AH44" i="25"/>
  <c r="AH45" i="25"/>
  <c r="AH43" i="25"/>
  <c r="AG39" i="25"/>
  <c r="AG34" i="25"/>
  <c r="AG42" i="25"/>
  <c r="AG33" i="25"/>
  <c r="AG41" i="25"/>
  <c r="AF48" i="25"/>
  <c r="AF25" i="25"/>
  <c r="AG153" i="25"/>
  <c r="AG97" i="25"/>
  <c r="AG107" i="25"/>
  <c r="AG151" i="25"/>
  <c r="AG124" i="25"/>
  <c r="AG149" i="25"/>
  <c r="AG108" i="25"/>
  <c r="AG139" i="25"/>
  <c r="AG145" i="25"/>
  <c r="AG121" i="25"/>
  <c r="AG146" i="25"/>
  <c r="AG104" i="25"/>
  <c r="AG106" i="25"/>
  <c r="AG109" i="25"/>
  <c r="AG102" i="25"/>
  <c r="AG122" i="25"/>
  <c r="AG147" i="25"/>
  <c r="AG119" i="25"/>
  <c r="AG125" i="25"/>
  <c r="AG120" i="25"/>
  <c r="AG152" i="25"/>
  <c r="AG105" i="25"/>
  <c r="AG132" i="25"/>
  <c r="AG128" i="25"/>
  <c r="AG110" i="25"/>
  <c r="AG130" i="25"/>
  <c r="AG143" i="25"/>
  <c r="AG126" i="25"/>
  <c r="AG118" i="25"/>
  <c r="AF134" i="25"/>
  <c r="AH6" i="25"/>
  <c r="AH115" i="25"/>
  <c r="AH94" i="25"/>
  <c r="AH52" i="25"/>
  <c r="AH136" i="25"/>
  <c r="AH29" i="25"/>
  <c r="AG150" i="25"/>
  <c r="AG103" i="25"/>
  <c r="AG131" i="25"/>
  <c r="AG101" i="25"/>
  <c r="AG127" i="25"/>
  <c r="AG129" i="25"/>
  <c r="AG142" i="25"/>
  <c r="AG148" i="25"/>
  <c r="AG144" i="25"/>
  <c r="AG100" i="25"/>
  <c r="AG123" i="25"/>
  <c r="AG68" i="25"/>
  <c r="AG59" i="25"/>
  <c r="AG65" i="25"/>
  <c r="AG58" i="25"/>
  <c r="AG62" i="25"/>
  <c r="AG63" i="25"/>
  <c r="AG55" i="25"/>
  <c r="AG66" i="25"/>
  <c r="AG64" i="25"/>
  <c r="AG67" i="25"/>
  <c r="AG61" i="25"/>
  <c r="AG56" i="25"/>
  <c r="AG60" i="25"/>
  <c r="AH31" i="25"/>
  <c r="AG30" i="25"/>
  <c r="AG22" i="25"/>
  <c r="AG19" i="25"/>
  <c r="AG18" i="25"/>
  <c r="AG21" i="25"/>
  <c r="AG14" i="25"/>
  <c r="AG20" i="25"/>
  <c r="AG13" i="25"/>
  <c r="AG15" i="25"/>
  <c r="AG10" i="25"/>
  <c r="AG9" i="25"/>
  <c r="AI4" i="25"/>
  <c r="AH2" i="25"/>
  <c r="AH3" i="25"/>
  <c r="AH125" i="25" s="1"/>
  <c r="AH77" i="25" l="1"/>
  <c r="AH79" i="25"/>
  <c r="AH76" i="25"/>
  <c r="AH89" i="25"/>
  <c r="AI73" i="25"/>
  <c r="AG92" i="25"/>
  <c r="AH86" i="25"/>
  <c r="AH78" i="25"/>
  <c r="AH84" i="25"/>
  <c r="AH90" i="25"/>
  <c r="AH82" i="25"/>
  <c r="AH80" i="25"/>
  <c r="AH83" i="25"/>
  <c r="AH87" i="25"/>
  <c r="AH81" i="25"/>
  <c r="AH85" i="25"/>
  <c r="AH88" i="25"/>
  <c r="AH35" i="25"/>
  <c r="AH46" i="25"/>
  <c r="AH36" i="25"/>
  <c r="AH39" i="25"/>
  <c r="AH34" i="25"/>
  <c r="AH42" i="25"/>
  <c r="AH33" i="25"/>
  <c r="AI37" i="25"/>
  <c r="AI43" i="25"/>
  <c r="AI44" i="25"/>
  <c r="AI45" i="25"/>
  <c r="AI32" i="25"/>
  <c r="AI38" i="25"/>
  <c r="AH41" i="25"/>
  <c r="AH40" i="25"/>
  <c r="AG48" i="25"/>
  <c r="AG25" i="25"/>
  <c r="AH147" i="25"/>
  <c r="AH105" i="25"/>
  <c r="AH102" i="25"/>
  <c r="AH100" i="25"/>
  <c r="AH119" i="25"/>
  <c r="AH139" i="25"/>
  <c r="AH130" i="25"/>
  <c r="AH142" i="25"/>
  <c r="AH129" i="25"/>
  <c r="AH153" i="25"/>
  <c r="AH104" i="25"/>
  <c r="AH108" i="25"/>
  <c r="AH131" i="25"/>
  <c r="AH98" i="25"/>
  <c r="AH126" i="25"/>
  <c r="AH132" i="25"/>
  <c r="AH124" i="25"/>
  <c r="AH121" i="25"/>
  <c r="AH145" i="25"/>
  <c r="AH120" i="25"/>
  <c r="AH146" i="25"/>
  <c r="AH97" i="25"/>
  <c r="AH110" i="25"/>
  <c r="AH107" i="25"/>
  <c r="AH103" i="25"/>
  <c r="AH152" i="25"/>
  <c r="AH123" i="25"/>
  <c r="AH151" i="25"/>
  <c r="AH148" i="25"/>
  <c r="AG134" i="25"/>
  <c r="AI29" i="25"/>
  <c r="AI6" i="25"/>
  <c r="AI115" i="25"/>
  <c r="AI52" i="25"/>
  <c r="AI136" i="25"/>
  <c r="AI94" i="25"/>
  <c r="AH150" i="25"/>
  <c r="AH109" i="25"/>
  <c r="AH127" i="25"/>
  <c r="AH106" i="25"/>
  <c r="AH101" i="25"/>
  <c r="AH128" i="25"/>
  <c r="AH143" i="25"/>
  <c r="AH118" i="25"/>
  <c r="AH144" i="25"/>
  <c r="AH149" i="25"/>
  <c r="AH122" i="25"/>
  <c r="AH59" i="25"/>
  <c r="AH65" i="25"/>
  <c r="AH60" i="25"/>
  <c r="AH62" i="25"/>
  <c r="AH63" i="25"/>
  <c r="AH58" i="25"/>
  <c r="AH68" i="25"/>
  <c r="AH56" i="25"/>
  <c r="AH66" i="25"/>
  <c r="AH55" i="25"/>
  <c r="AH61" i="25"/>
  <c r="AH64" i="25"/>
  <c r="AH67" i="25"/>
  <c r="AH30" i="25"/>
  <c r="AI31" i="25"/>
  <c r="AH21" i="25"/>
  <c r="AH22" i="25"/>
  <c r="AH10" i="25"/>
  <c r="AH20" i="25"/>
  <c r="AH18" i="25"/>
  <c r="AH13" i="25"/>
  <c r="AH19" i="25"/>
  <c r="AH15" i="25"/>
  <c r="AH14" i="25"/>
  <c r="AH9" i="25"/>
  <c r="AJ4" i="25"/>
  <c r="AI2" i="25"/>
  <c r="AI3" i="25"/>
  <c r="AH25" i="25" l="1"/>
  <c r="AI25" i="25"/>
  <c r="AH92" i="25"/>
  <c r="AJ73" i="25"/>
  <c r="AI85" i="25"/>
  <c r="AI87" i="25"/>
  <c r="AI83" i="25"/>
  <c r="AI77" i="25"/>
  <c r="AI90" i="25"/>
  <c r="AI84" i="25"/>
  <c r="AI80" i="25"/>
  <c r="AI76" i="25"/>
  <c r="AI89" i="25"/>
  <c r="AI79" i="25"/>
  <c r="AI78" i="25"/>
  <c r="AI81" i="25"/>
  <c r="AI88" i="25"/>
  <c r="AI86" i="25"/>
  <c r="AI82" i="25"/>
  <c r="AI35" i="25"/>
  <c r="AI36" i="25"/>
  <c r="AI46" i="25"/>
  <c r="AI34" i="25"/>
  <c r="AI40" i="25"/>
  <c r="AJ32" i="25"/>
  <c r="AJ37" i="25"/>
  <c r="AJ38" i="25"/>
  <c r="AJ43" i="25"/>
  <c r="AJ44" i="25"/>
  <c r="AJ45" i="25"/>
  <c r="AI39" i="25"/>
  <c r="AI42" i="25"/>
  <c r="AI41" i="25"/>
  <c r="AI33" i="25"/>
  <c r="AH48" i="25"/>
  <c r="AI146" i="25"/>
  <c r="AI128" i="25"/>
  <c r="AI101" i="25"/>
  <c r="AI132" i="25"/>
  <c r="AI129" i="25"/>
  <c r="AI142" i="25"/>
  <c r="AI124" i="25"/>
  <c r="AI122" i="25"/>
  <c r="AI109" i="25"/>
  <c r="AI145" i="25"/>
  <c r="AI119" i="25"/>
  <c r="AI120" i="25"/>
  <c r="AI150" i="25"/>
  <c r="AI131" i="25"/>
  <c r="AI97" i="25"/>
  <c r="AI127" i="25"/>
  <c r="AI125" i="25"/>
  <c r="AI106" i="25"/>
  <c r="AI118" i="25"/>
  <c r="AI147" i="25"/>
  <c r="AI139" i="25"/>
  <c r="AH134" i="25"/>
  <c r="AJ52" i="25"/>
  <c r="AJ136" i="25"/>
  <c r="AJ29" i="25"/>
  <c r="AJ6" i="25"/>
  <c r="AJ115" i="25"/>
  <c r="AJ94" i="25"/>
  <c r="AI153" i="25"/>
  <c r="AI107" i="25"/>
  <c r="AI110" i="25"/>
  <c r="AI123" i="25"/>
  <c r="AI148" i="25"/>
  <c r="AI149" i="25"/>
  <c r="AI126" i="25"/>
  <c r="AI151" i="25"/>
  <c r="AI100" i="25"/>
  <c r="AI98" i="25"/>
  <c r="AI152" i="25"/>
  <c r="AI103" i="25"/>
  <c r="AI105" i="25"/>
  <c r="AI121" i="25"/>
  <c r="AI108" i="25"/>
  <c r="AI144" i="25"/>
  <c r="AI143" i="25"/>
  <c r="AI130" i="25"/>
  <c r="AI102" i="25"/>
  <c r="AI104" i="25"/>
  <c r="AI59" i="25"/>
  <c r="AI56" i="25"/>
  <c r="AI60" i="25"/>
  <c r="AI66" i="25"/>
  <c r="AI63" i="25"/>
  <c r="AI62" i="25"/>
  <c r="AI58" i="25"/>
  <c r="AI55" i="25"/>
  <c r="AI67" i="25"/>
  <c r="AI68" i="25"/>
  <c r="AI61" i="25"/>
  <c r="AI65" i="25"/>
  <c r="AI64" i="25"/>
  <c r="AI30" i="25"/>
  <c r="AJ31" i="25"/>
  <c r="AI22" i="25"/>
  <c r="AI20" i="25"/>
  <c r="AI21" i="25"/>
  <c r="AI18" i="25"/>
  <c r="AI13" i="25"/>
  <c r="AI15" i="25"/>
  <c r="AI14" i="25"/>
  <c r="AI9" i="25"/>
  <c r="AI19" i="25"/>
  <c r="AI10" i="25"/>
  <c r="AK4" i="25"/>
  <c r="AJ2" i="25"/>
  <c r="AJ3" i="25"/>
  <c r="AJ25" i="25" l="1"/>
  <c r="AJ90" i="25"/>
  <c r="AJ83" i="25"/>
  <c r="AJ76" i="25"/>
  <c r="AJ84" i="25"/>
  <c r="AJ89" i="25"/>
  <c r="AJ79" i="25"/>
  <c r="AJ81" i="25"/>
  <c r="AI92" i="25"/>
  <c r="AJ85" i="25"/>
  <c r="AJ88" i="25"/>
  <c r="AJ78" i="25"/>
  <c r="AJ82" i="25"/>
  <c r="AK73" i="25"/>
  <c r="AJ86" i="25"/>
  <c r="AJ87" i="25"/>
  <c r="AJ80" i="25"/>
  <c r="AJ77" i="25"/>
  <c r="AJ35" i="25"/>
  <c r="AJ46" i="25"/>
  <c r="AJ36" i="25"/>
  <c r="AJ42" i="25"/>
  <c r="AJ33" i="25"/>
  <c r="AK32" i="25"/>
  <c r="AK37" i="25"/>
  <c r="AK38" i="25"/>
  <c r="AK43" i="25"/>
  <c r="AK44" i="25"/>
  <c r="AK45" i="25"/>
  <c r="AJ41" i="25"/>
  <c r="AJ40" i="25"/>
  <c r="AJ39" i="25"/>
  <c r="AJ34" i="25"/>
  <c r="AI48" i="25"/>
  <c r="AJ152" i="25"/>
  <c r="AJ103" i="25"/>
  <c r="AJ132" i="25"/>
  <c r="AJ101" i="25"/>
  <c r="AJ108" i="25"/>
  <c r="AJ130" i="25"/>
  <c r="AJ122" i="25"/>
  <c r="AJ98" i="25"/>
  <c r="AJ123" i="25"/>
  <c r="AJ126" i="25"/>
  <c r="AK94" i="25"/>
  <c r="AK52" i="25"/>
  <c r="AK136" i="25"/>
  <c r="AK29" i="25"/>
  <c r="AK115" i="25"/>
  <c r="AK6" i="25"/>
  <c r="AJ120" i="25"/>
  <c r="AJ153" i="25"/>
  <c r="AJ128" i="25"/>
  <c r="AJ109" i="25"/>
  <c r="AJ131" i="25"/>
  <c r="AJ106" i="25"/>
  <c r="AJ151" i="25"/>
  <c r="AJ127" i="25"/>
  <c r="AJ129" i="25"/>
  <c r="AJ145" i="25"/>
  <c r="AJ139" i="25"/>
  <c r="AJ150" i="25"/>
  <c r="AJ146" i="25"/>
  <c r="AJ105" i="25"/>
  <c r="AJ118" i="25"/>
  <c r="AJ97" i="25"/>
  <c r="AJ125" i="25"/>
  <c r="AJ149" i="25"/>
  <c r="AJ119" i="25"/>
  <c r="AJ121" i="25"/>
  <c r="AJ100" i="25"/>
  <c r="AI134" i="25"/>
  <c r="AJ142" i="25"/>
  <c r="AJ144" i="25"/>
  <c r="AJ107" i="25"/>
  <c r="AJ104" i="25"/>
  <c r="AJ110" i="25"/>
  <c r="AJ147" i="25"/>
  <c r="AJ124" i="25"/>
  <c r="AJ143" i="25"/>
  <c r="AJ148" i="25"/>
  <c r="AJ102" i="25"/>
  <c r="AJ55" i="25"/>
  <c r="AJ65" i="25"/>
  <c r="AJ58" i="25"/>
  <c r="AJ66" i="25"/>
  <c r="AJ61" i="25"/>
  <c r="AJ63" i="25"/>
  <c r="AJ67" i="25"/>
  <c r="AJ59" i="25"/>
  <c r="AJ64" i="25"/>
  <c r="AJ62" i="25"/>
  <c r="AJ68" i="25"/>
  <c r="AJ56" i="25"/>
  <c r="AJ60" i="25"/>
  <c r="AJ30" i="25"/>
  <c r="AK31" i="25"/>
  <c r="AJ20" i="25"/>
  <c r="AJ15" i="25"/>
  <c r="AJ19" i="25"/>
  <c r="AJ18" i="25"/>
  <c r="AJ22" i="25"/>
  <c r="AJ14" i="25"/>
  <c r="AJ13" i="25"/>
  <c r="AJ21" i="25"/>
  <c r="AJ10" i="25"/>
  <c r="AJ9" i="25"/>
  <c r="AL4" i="25"/>
  <c r="AK2" i="25"/>
  <c r="AK3" i="25"/>
  <c r="AK104" i="25" s="1"/>
  <c r="AK90" i="25" l="1"/>
  <c r="AK76" i="25"/>
  <c r="AK78" i="25"/>
  <c r="AK88" i="25"/>
  <c r="AK87" i="25"/>
  <c r="AK79" i="25"/>
  <c r="AK82" i="25"/>
  <c r="AK83" i="25"/>
  <c r="AK84" i="25"/>
  <c r="AK85" i="25"/>
  <c r="AK81" i="25"/>
  <c r="AJ92" i="25"/>
  <c r="AL73" i="25"/>
  <c r="AK89" i="25"/>
  <c r="AK86" i="25"/>
  <c r="AK77" i="25"/>
  <c r="AK80" i="25"/>
  <c r="AK35" i="25"/>
  <c r="AK46" i="25"/>
  <c r="AK36" i="25"/>
  <c r="AK42" i="25"/>
  <c r="AK33" i="25"/>
  <c r="AL32" i="25"/>
  <c r="AL37" i="25"/>
  <c r="AL38" i="25"/>
  <c r="AL43" i="25"/>
  <c r="AL45" i="25"/>
  <c r="AL44" i="25"/>
  <c r="AK41" i="25"/>
  <c r="AK40" i="25"/>
  <c r="AK39" i="25"/>
  <c r="AK34" i="25"/>
  <c r="AJ48" i="25"/>
  <c r="AK147" i="25"/>
  <c r="AK152" i="25"/>
  <c r="AK109" i="25"/>
  <c r="AK97" i="25"/>
  <c r="AK119" i="25"/>
  <c r="AK129" i="25"/>
  <c r="AK149" i="25"/>
  <c r="AK108" i="25"/>
  <c r="AK102" i="25"/>
  <c r="AK145" i="25"/>
  <c r="AK142" i="25"/>
  <c r="AK100" i="25"/>
  <c r="AK131" i="25"/>
  <c r="AK132" i="25"/>
  <c r="AK127" i="25"/>
  <c r="AK124" i="25"/>
  <c r="AK143" i="25"/>
  <c r="AK148" i="25"/>
  <c r="AK123" i="25"/>
  <c r="AK107" i="25"/>
  <c r="AK98" i="25"/>
  <c r="AJ134" i="25"/>
  <c r="AK150" i="25"/>
  <c r="AK103" i="25"/>
  <c r="AK125" i="25"/>
  <c r="AK144" i="25"/>
  <c r="AK122" i="25"/>
  <c r="AK118" i="25"/>
  <c r="AK106" i="25"/>
  <c r="AK121" i="25"/>
  <c r="AL6" i="25"/>
  <c r="AL115" i="25"/>
  <c r="AL94" i="25"/>
  <c r="AL52" i="25"/>
  <c r="AL29" i="25"/>
  <c r="AL136" i="25"/>
  <c r="AK120" i="25"/>
  <c r="AK153" i="25"/>
  <c r="AK128" i="25"/>
  <c r="AK101" i="25"/>
  <c r="AK126" i="25"/>
  <c r="AK151" i="25"/>
  <c r="AK130" i="25"/>
  <c r="AK146" i="25"/>
  <c r="AK110" i="25"/>
  <c r="AK105" i="25"/>
  <c r="AK139" i="25"/>
  <c r="AK59" i="25"/>
  <c r="AK63" i="25"/>
  <c r="AK66" i="25"/>
  <c r="AK67" i="25"/>
  <c r="AK64" i="25"/>
  <c r="AK55" i="25"/>
  <c r="AK62" i="25"/>
  <c r="AK56" i="25"/>
  <c r="AK60" i="25"/>
  <c r="AK61" i="25"/>
  <c r="AK68" i="25"/>
  <c r="AK65" i="25"/>
  <c r="AK58" i="25"/>
  <c r="AK30" i="25"/>
  <c r="AL31" i="25"/>
  <c r="AK22" i="25"/>
  <c r="AK19" i="25"/>
  <c r="AK18" i="25"/>
  <c r="AK21" i="25"/>
  <c r="AK14" i="25"/>
  <c r="AK20" i="25"/>
  <c r="AK13" i="25"/>
  <c r="AK15" i="25"/>
  <c r="AK10" i="25"/>
  <c r="AK9" i="25"/>
  <c r="AM4" i="25"/>
  <c r="AL2" i="25"/>
  <c r="AL3" i="25"/>
  <c r="AL145" i="25" s="1"/>
  <c r="AL83" i="25" l="1"/>
  <c r="AL90" i="25"/>
  <c r="AL85" i="25"/>
  <c r="AL84" i="25"/>
  <c r="AL81" i="25"/>
  <c r="AL79" i="25"/>
  <c r="AL87" i="25"/>
  <c r="AK92" i="25"/>
  <c r="AL82" i="25"/>
  <c r="AL77" i="25"/>
  <c r="AL88" i="25"/>
  <c r="AL76" i="25"/>
  <c r="AM73" i="25"/>
  <c r="AL86" i="25"/>
  <c r="AL78" i="25"/>
  <c r="AL89" i="25"/>
  <c r="AL80" i="25"/>
  <c r="AL35" i="25"/>
  <c r="AL46" i="25"/>
  <c r="AL36" i="25"/>
  <c r="AL33" i="25"/>
  <c r="AL41" i="25"/>
  <c r="AM43" i="25"/>
  <c r="AM44" i="25"/>
  <c r="AM45" i="25"/>
  <c r="AM37" i="25"/>
  <c r="AM32" i="25"/>
  <c r="AM38" i="25"/>
  <c r="AL42" i="25"/>
  <c r="AL40" i="25"/>
  <c r="AL39" i="25"/>
  <c r="AL34" i="25"/>
  <c r="AK48" i="25"/>
  <c r="AK25" i="25"/>
  <c r="AM29" i="25"/>
  <c r="AM6" i="25"/>
  <c r="AM115" i="25"/>
  <c r="AM94" i="25"/>
  <c r="AM52" i="25"/>
  <c r="AM136" i="25"/>
  <c r="AK134" i="25"/>
  <c r="AL142" i="25"/>
  <c r="AL106" i="25"/>
  <c r="AL100" i="25"/>
  <c r="AL107" i="25"/>
  <c r="AL123" i="25"/>
  <c r="AL121" i="25"/>
  <c r="AL128" i="25"/>
  <c r="AL150" i="25"/>
  <c r="AL120" i="25"/>
  <c r="AL152" i="25"/>
  <c r="AL102" i="25"/>
  <c r="AL98" i="25"/>
  <c r="AL119" i="25"/>
  <c r="AL105" i="25"/>
  <c r="AL118" i="25"/>
  <c r="AL127" i="25"/>
  <c r="AL124" i="25"/>
  <c r="AL149" i="25"/>
  <c r="AL132" i="25"/>
  <c r="AL147" i="25"/>
  <c r="AL146" i="25"/>
  <c r="AL97" i="25"/>
  <c r="AL103" i="25"/>
  <c r="AL108" i="25"/>
  <c r="AL130" i="25"/>
  <c r="AL148" i="25"/>
  <c r="AL122" i="25"/>
  <c r="AL139" i="25"/>
  <c r="AL125" i="25"/>
  <c r="AL153" i="25"/>
  <c r="AL110" i="25"/>
  <c r="AL104" i="25"/>
  <c r="AL129" i="25"/>
  <c r="AL109" i="25"/>
  <c r="AL101" i="25"/>
  <c r="AL144" i="25"/>
  <c r="AL151" i="25"/>
  <c r="AL126" i="25"/>
  <c r="AL143" i="25"/>
  <c r="AL131" i="25"/>
  <c r="AL59" i="25"/>
  <c r="AL67" i="25"/>
  <c r="AL68" i="25"/>
  <c r="AL61" i="25"/>
  <c r="AL65" i="25"/>
  <c r="AL64" i="25"/>
  <c r="AL56" i="25"/>
  <c r="AL62" i="25"/>
  <c r="AL60" i="25"/>
  <c r="AL66" i="25"/>
  <c r="AL55" i="25"/>
  <c r="AL63" i="25"/>
  <c r="AL58" i="25"/>
  <c r="AL30" i="25"/>
  <c r="AM31" i="25"/>
  <c r="AL21" i="25"/>
  <c r="AL22" i="25"/>
  <c r="AL15" i="25"/>
  <c r="AL10" i="25"/>
  <c r="AL20" i="25"/>
  <c r="AL18" i="25"/>
  <c r="AL13" i="25"/>
  <c r="AL19" i="25"/>
  <c r="AL14" i="25"/>
  <c r="AL9" i="25"/>
  <c r="AN4" i="25"/>
  <c r="AM2" i="25"/>
  <c r="AM3" i="25"/>
  <c r="AL25" i="25" l="1"/>
  <c r="AL92" i="25"/>
  <c r="AM89" i="25"/>
  <c r="AM80" i="25"/>
  <c r="AM83" i="25"/>
  <c r="AN73" i="25"/>
  <c r="AM88" i="25"/>
  <c r="AM78" i="25"/>
  <c r="AM86" i="25"/>
  <c r="AM76" i="25"/>
  <c r="AM87" i="25"/>
  <c r="AM77" i="25"/>
  <c r="AM81" i="25"/>
  <c r="AM85" i="25"/>
  <c r="AM90" i="25"/>
  <c r="AM79" i="25"/>
  <c r="AM84" i="25"/>
  <c r="AM82" i="25"/>
  <c r="AM35" i="25"/>
  <c r="AM36" i="25"/>
  <c r="AM46" i="25"/>
  <c r="AM40" i="25"/>
  <c r="AM42" i="25"/>
  <c r="AM41" i="25"/>
  <c r="AN32" i="25"/>
  <c r="AN37" i="25"/>
  <c r="AN38" i="25"/>
  <c r="AN43" i="25"/>
  <c r="AN44" i="25"/>
  <c r="AN45" i="25"/>
  <c r="AM39" i="25"/>
  <c r="AM34" i="25"/>
  <c r="AM33" i="25"/>
  <c r="AL48" i="25"/>
  <c r="AM146" i="25"/>
  <c r="AM147" i="25"/>
  <c r="AM106" i="25"/>
  <c r="AM131" i="25"/>
  <c r="AM104" i="25"/>
  <c r="AM109" i="25"/>
  <c r="AM108" i="25"/>
  <c r="AM125" i="25"/>
  <c r="AM145" i="25"/>
  <c r="AM124" i="25"/>
  <c r="AM150" i="25"/>
  <c r="AM103" i="25"/>
  <c r="AM101" i="25"/>
  <c r="AM126" i="25"/>
  <c r="AM130" i="25"/>
  <c r="AM128" i="25"/>
  <c r="AM123" i="25"/>
  <c r="AM118" i="25"/>
  <c r="AM149" i="25"/>
  <c r="AM98" i="25"/>
  <c r="AM120" i="25"/>
  <c r="AM152" i="25"/>
  <c r="AM148" i="25"/>
  <c r="AM107" i="25"/>
  <c r="AM144" i="25"/>
  <c r="AM132" i="25"/>
  <c r="AM127" i="25"/>
  <c r="AM121" i="25"/>
  <c r="AM119" i="25"/>
  <c r="AM100" i="25"/>
  <c r="AN52" i="25"/>
  <c r="AN136" i="25"/>
  <c r="AN29" i="25"/>
  <c r="AN6" i="25"/>
  <c r="AN94" i="25"/>
  <c r="AN115" i="25"/>
  <c r="AL134" i="25"/>
  <c r="AM153" i="25"/>
  <c r="AM142" i="25"/>
  <c r="AM110" i="25"/>
  <c r="AM105" i="25"/>
  <c r="AM102" i="25"/>
  <c r="AM97" i="25"/>
  <c r="AM139" i="25"/>
  <c r="AM129" i="25"/>
  <c r="AM151" i="25"/>
  <c r="AM122" i="25"/>
  <c r="AM143" i="25"/>
  <c r="AM58" i="25"/>
  <c r="AM55" i="25"/>
  <c r="AM64" i="25"/>
  <c r="AM65" i="25"/>
  <c r="AM61" i="25"/>
  <c r="AM67" i="25"/>
  <c r="AM63" i="25"/>
  <c r="AM62" i="25"/>
  <c r="AM59" i="25"/>
  <c r="AM68" i="25"/>
  <c r="AM60" i="25"/>
  <c r="AM66" i="25"/>
  <c r="AM56" i="25"/>
  <c r="AM30" i="25"/>
  <c r="AN31" i="25"/>
  <c r="AM20" i="25"/>
  <c r="AM21" i="25"/>
  <c r="AM14" i="25"/>
  <c r="AM9" i="25"/>
  <c r="AM15" i="25"/>
  <c r="AM10" i="25"/>
  <c r="AM19" i="25"/>
  <c r="AM22" i="25"/>
  <c r="AM18" i="25"/>
  <c r="AM13" i="25"/>
  <c r="AO4" i="25"/>
  <c r="AN2" i="25"/>
  <c r="AN3" i="25"/>
  <c r="AN132" i="25" s="1"/>
  <c r="AO73" i="25" l="1"/>
  <c r="AN84" i="25"/>
  <c r="AN88" i="25"/>
  <c r="AN78" i="25"/>
  <c r="AN82" i="25"/>
  <c r="AN86" i="25"/>
  <c r="AN87" i="25"/>
  <c r="AN80" i="25"/>
  <c r="AN76" i="25"/>
  <c r="AM92" i="25"/>
  <c r="AN90" i="25"/>
  <c r="AN83" i="25"/>
  <c r="AN77" i="25"/>
  <c r="AN89" i="25"/>
  <c r="AN79" i="25"/>
  <c r="AN81" i="25"/>
  <c r="AN85" i="25"/>
  <c r="AN35" i="25"/>
  <c r="AN46" i="25"/>
  <c r="AN36" i="25"/>
  <c r="AN41" i="25"/>
  <c r="AN40" i="25"/>
  <c r="AO32" i="25"/>
  <c r="AO37" i="25"/>
  <c r="AO38" i="25"/>
  <c r="AO43" i="25"/>
  <c r="AO44" i="25"/>
  <c r="AO45" i="25"/>
  <c r="AN39" i="25"/>
  <c r="AN34" i="25"/>
  <c r="AN42" i="25"/>
  <c r="AN33" i="25"/>
  <c r="AM48" i="25"/>
  <c r="AM25" i="25"/>
  <c r="AN120" i="25"/>
  <c r="AN147" i="25"/>
  <c r="AN105" i="25"/>
  <c r="AN127" i="25"/>
  <c r="AN104" i="25"/>
  <c r="AN152" i="25"/>
  <c r="AN149" i="25"/>
  <c r="AN106" i="25"/>
  <c r="AN129" i="25"/>
  <c r="AN139" i="25"/>
  <c r="AN100" i="25"/>
  <c r="AN142" i="25"/>
  <c r="AN150" i="25"/>
  <c r="AN101" i="25"/>
  <c r="AN97" i="25"/>
  <c r="AN131" i="25"/>
  <c r="AN151" i="25"/>
  <c r="AN143" i="25"/>
  <c r="AN102" i="25"/>
  <c r="AN118" i="25"/>
  <c r="AN123" i="25"/>
  <c r="AN110" i="25"/>
  <c r="AN153" i="25"/>
  <c r="AN103" i="25"/>
  <c r="AN126" i="25"/>
  <c r="AN119" i="25"/>
  <c r="AN124" i="25"/>
  <c r="AN121" i="25"/>
  <c r="AN108" i="25"/>
  <c r="AN144" i="25"/>
  <c r="AO94" i="25"/>
  <c r="AO52" i="25"/>
  <c r="AO136" i="25"/>
  <c r="AO29" i="25"/>
  <c r="AO6" i="25"/>
  <c r="AO115" i="25"/>
  <c r="AN125" i="25"/>
  <c r="AN146" i="25"/>
  <c r="AN109" i="25"/>
  <c r="AN98" i="25"/>
  <c r="AN107" i="25"/>
  <c r="AN130" i="25"/>
  <c r="AN122" i="25"/>
  <c r="AN128" i="25"/>
  <c r="AN145" i="25"/>
  <c r="AN148" i="25"/>
  <c r="AM134" i="25"/>
  <c r="AN61" i="25"/>
  <c r="AN67" i="25"/>
  <c r="AN65" i="25"/>
  <c r="AN58" i="25"/>
  <c r="AN59" i="25"/>
  <c r="AN68" i="25"/>
  <c r="AN63" i="25"/>
  <c r="AN55" i="25"/>
  <c r="AN62" i="25"/>
  <c r="AN64" i="25"/>
  <c r="AN66" i="25"/>
  <c r="AN56" i="25"/>
  <c r="AN60" i="25"/>
  <c r="AN30" i="25"/>
  <c r="AO31" i="25"/>
  <c r="AN20" i="25"/>
  <c r="AN15" i="25"/>
  <c r="AN19" i="25"/>
  <c r="AN18" i="25"/>
  <c r="AN22" i="25"/>
  <c r="AN14" i="25"/>
  <c r="AN13" i="25"/>
  <c r="AN21" i="25"/>
  <c r="AN10" i="25"/>
  <c r="AN9" i="25"/>
  <c r="AP4" i="25"/>
  <c r="AO2" i="25"/>
  <c r="AO3" i="25"/>
  <c r="AO104" i="25" s="1"/>
  <c r="AO89" i="25" l="1"/>
  <c r="AO80" i="25"/>
  <c r="AO88" i="25"/>
  <c r="AO78" i="25"/>
  <c r="AN92" i="25"/>
  <c r="AO90" i="25"/>
  <c r="AO83" i="25"/>
  <c r="AO77" i="25"/>
  <c r="AP73" i="25"/>
  <c r="AO82" i="25"/>
  <c r="AO81" i="25"/>
  <c r="AO86" i="25"/>
  <c r="AO84" i="25"/>
  <c r="AO87" i="25"/>
  <c r="AO76" i="25"/>
  <c r="AO85" i="25"/>
  <c r="AO79" i="25"/>
  <c r="AO35" i="25"/>
  <c r="AO46" i="25"/>
  <c r="AO36" i="25"/>
  <c r="AP32" i="25"/>
  <c r="AP37" i="25"/>
  <c r="AP38" i="25"/>
  <c r="AP43" i="25"/>
  <c r="AP45" i="25"/>
  <c r="AP44" i="25"/>
  <c r="AO42" i="25"/>
  <c r="AO33" i="25"/>
  <c r="AO41" i="25"/>
  <c r="AO40" i="25"/>
  <c r="AO39" i="25"/>
  <c r="AO34" i="25"/>
  <c r="AN48" i="25"/>
  <c r="AN25" i="25"/>
  <c r="AO147" i="25"/>
  <c r="AO105" i="25"/>
  <c r="AO128" i="25"/>
  <c r="AO103" i="25"/>
  <c r="AO129" i="25"/>
  <c r="AO119" i="25"/>
  <c r="AO127" i="25"/>
  <c r="AO97" i="25"/>
  <c r="AO108" i="25"/>
  <c r="AO142" i="25"/>
  <c r="AO132" i="25"/>
  <c r="AO149" i="25"/>
  <c r="AO124" i="25"/>
  <c r="AO126" i="25"/>
  <c r="AO151" i="25"/>
  <c r="AO148" i="25"/>
  <c r="AO139" i="25"/>
  <c r="AO120" i="25"/>
  <c r="AO146" i="25"/>
  <c r="AO130" i="25"/>
  <c r="AO143" i="25"/>
  <c r="AO107" i="25"/>
  <c r="AO118" i="25"/>
  <c r="AO145" i="25"/>
  <c r="AO100" i="25"/>
  <c r="AO98" i="25"/>
  <c r="AO123" i="25"/>
  <c r="AO150" i="25"/>
  <c r="AP6" i="25"/>
  <c r="AP115" i="25"/>
  <c r="AP94" i="25"/>
  <c r="AP52" i="25"/>
  <c r="AP29" i="25"/>
  <c r="AP136" i="25"/>
  <c r="AO144" i="25"/>
  <c r="AO153" i="25"/>
  <c r="AO109" i="25"/>
  <c r="AO122" i="25"/>
  <c r="AO131" i="25"/>
  <c r="AO125" i="25"/>
  <c r="AO121" i="25"/>
  <c r="AO102" i="25"/>
  <c r="AO152" i="25"/>
  <c r="AO106" i="25"/>
  <c r="AO101" i="25"/>
  <c r="AO110" i="25"/>
  <c r="AN134" i="25"/>
  <c r="AO63" i="25"/>
  <c r="AO68" i="25"/>
  <c r="AO60" i="25"/>
  <c r="AO61" i="25"/>
  <c r="AO66" i="25"/>
  <c r="AO62" i="25"/>
  <c r="AO58" i="25"/>
  <c r="AO55" i="25"/>
  <c r="AO59" i="25"/>
  <c r="AO56" i="25"/>
  <c r="AO65" i="25"/>
  <c r="AO67" i="25"/>
  <c r="AO64" i="25"/>
  <c r="AO30" i="25"/>
  <c r="AP31" i="25"/>
  <c r="AO22" i="25"/>
  <c r="AO19" i="25"/>
  <c r="AO18" i="25"/>
  <c r="AO21" i="25"/>
  <c r="AO14" i="25"/>
  <c r="AO20" i="25"/>
  <c r="AO13" i="25"/>
  <c r="AO15" i="25"/>
  <c r="AO10" i="25"/>
  <c r="AO9" i="25"/>
  <c r="AQ4" i="25"/>
  <c r="AP2" i="25"/>
  <c r="AP3" i="25"/>
  <c r="AP131" i="25" s="1"/>
  <c r="AP81" i="25" l="1"/>
  <c r="AP86" i="25"/>
  <c r="AP85" i="25"/>
  <c r="AP87" i="25"/>
  <c r="AP82" i="25"/>
  <c r="AP79" i="25"/>
  <c r="AP76" i="25"/>
  <c r="AP88" i="25"/>
  <c r="AQ73" i="25"/>
  <c r="AO92" i="25"/>
  <c r="AP80" i="25"/>
  <c r="AP78" i="25"/>
  <c r="AP89" i="25"/>
  <c r="AP83" i="25"/>
  <c r="AP77" i="25"/>
  <c r="AP84" i="25"/>
  <c r="AP90" i="25"/>
  <c r="AP35" i="25"/>
  <c r="AP36" i="25"/>
  <c r="AP46" i="25"/>
  <c r="AP40" i="25"/>
  <c r="AP39" i="25"/>
  <c r="AP34" i="25"/>
  <c r="AQ32" i="25"/>
  <c r="AQ38" i="25"/>
  <c r="AQ43" i="25"/>
  <c r="AQ44" i="25"/>
  <c r="AQ45" i="25"/>
  <c r="AQ37" i="25"/>
  <c r="AP41" i="25"/>
  <c r="AP33" i="25"/>
  <c r="AP42" i="25"/>
  <c r="AO48" i="25"/>
  <c r="AO25" i="25"/>
  <c r="AR4" i="25"/>
  <c r="AP25" i="25"/>
  <c r="AP152" i="25"/>
  <c r="AP103" i="25"/>
  <c r="AP101" i="25"/>
  <c r="AP123" i="25"/>
  <c r="AP126" i="25"/>
  <c r="AP148" i="25"/>
  <c r="AP122" i="25"/>
  <c r="AP100" i="25"/>
  <c r="AP102" i="25"/>
  <c r="AP119" i="25"/>
  <c r="AP132" i="25"/>
  <c r="AP153" i="25"/>
  <c r="AP144" i="25"/>
  <c r="AP125" i="25"/>
  <c r="AP118" i="25"/>
  <c r="AP121" i="25"/>
  <c r="AP151" i="25"/>
  <c r="AP129" i="25"/>
  <c r="AP130" i="25"/>
  <c r="AP139" i="25"/>
  <c r="AP109" i="25"/>
  <c r="AP150" i="25"/>
  <c r="AP106" i="25"/>
  <c r="AP110" i="25"/>
  <c r="AP104" i="25"/>
  <c r="AP127" i="25"/>
  <c r="AP146" i="25"/>
  <c r="AP149" i="25"/>
  <c r="AP147" i="25"/>
  <c r="AP98" i="25"/>
  <c r="AQ29" i="25"/>
  <c r="AQ6" i="25"/>
  <c r="AQ115" i="25"/>
  <c r="AQ52" i="25"/>
  <c r="AQ94" i="25"/>
  <c r="AQ136" i="25"/>
  <c r="AP120" i="25"/>
  <c r="AP107" i="25"/>
  <c r="AP108" i="25"/>
  <c r="AP105" i="25"/>
  <c r="AP97" i="25"/>
  <c r="AP124" i="25"/>
  <c r="AP142" i="25"/>
  <c r="AP145" i="25"/>
  <c r="AP128" i="25"/>
  <c r="AP143" i="25"/>
  <c r="AO134" i="25"/>
  <c r="AP62" i="25"/>
  <c r="AP58" i="25"/>
  <c r="AP68" i="25"/>
  <c r="AP63" i="25"/>
  <c r="AP60" i="25"/>
  <c r="AP67" i="25"/>
  <c r="AP56" i="25"/>
  <c r="AP64" i="25"/>
  <c r="AP61" i="25"/>
  <c r="AP55" i="25"/>
  <c r="AP66" i="25"/>
  <c r="AP59" i="25"/>
  <c r="AP65" i="25"/>
  <c r="AP30" i="25"/>
  <c r="AQ31" i="25"/>
  <c r="AP21" i="25"/>
  <c r="AP22" i="25"/>
  <c r="AP20" i="25"/>
  <c r="AP18" i="25"/>
  <c r="AP13" i="25"/>
  <c r="AP14" i="25"/>
  <c r="AP9" i="25"/>
  <c r="AP19" i="25"/>
  <c r="AP15" i="25"/>
  <c r="AP10" i="25"/>
  <c r="AQ2" i="25"/>
  <c r="AQ3" i="25"/>
  <c r="AQ76" i="25" s="1"/>
  <c r="AQ83" i="25" l="1"/>
  <c r="AQ90" i="25"/>
  <c r="AQ89" i="25"/>
  <c r="AQ85" i="25"/>
  <c r="AQ79" i="25"/>
  <c r="AQ84" i="25"/>
  <c r="AR73" i="25"/>
  <c r="AP92" i="25"/>
  <c r="AQ88" i="25"/>
  <c r="AQ86" i="25"/>
  <c r="AQ77" i="25"/>
  <c r="AQ81" i="25"/>
  <c r="AQ87" i="25"/>
  <c r="AQ78" i="25"/>
  <c r="AQ80" i="25"/>
  <c r="AQ82" i="25"/>
  <c r="AQ35" i="25"/>
  <c r="AQ46" i="25"/>
  <c r="AQ36" i="25"/>
  <c r="AR31" i="25"/>
  <c r="AR32" i="25"/>
  <c r="AR37" i="25"/>
  <c r="AR38" i="25"/>
  <c r="AR43" i="25"/>
  <c r="AR44" i="25"/>
  <c r="AR45" i="25"/>
  <c r="AQ41" i="25"/>
  <c r="AQ39" i="25"/>
  <c r="AQ33" i="25"/>
  <c r="AQ40" i="25"/>
  <c r="AQ42" i="25"/>
  <c r="AQ34" i="25"/>
  <c r="AP48" i="25"/>
  <c r="AR3" i="25"/>
  <c r="AR40" i="25" s="1"/>
  <c r="AR6" i="25"/>
  <c r="AR2" i="25"/>
  <c r="AR29" i="25"/>
  <c r="AS4" i="25"/>
  <c r="AR136" i="25"/>
  <c r="AR52" i="25"/>
  <c r="AR94" i="25"/>
  <c r="AR115" i="25"/>
  <c r="AQ150" i="25"/>
  <c r="AQ105" i="25"/>
  <c r="AQ118" i="25"/>
  <c r="AQ142" i="25"/>
  <c r="AQ98" i="25"/>
  <c r="AQ122" i="25"/>
  <c r="AQ144" i="25"/>
  <c r="AQ139" i="25"/>
  <c r="AQ151" i="25"/>
  <c r="AP134" i="25"/>
  <c r="AQ147" i="25"/>
  <c r="AQ97" i="25"/>
  <c r="AQ131" i="25"/>
  <c r="AQ126" i="25"/>
  <c r="AQ128" i="25"/>
  <c r="AQ149" i="25"/>
  <c r="AQ146" i="25"/>
  <c r="AQ100" i="25"/>
  <c r="AQ121" i="25"/>
  <c r="AQ108" i="25"/>
  <c r="AQ124" i="25"/>
  <c r="AQ120" i="25"/>
  <c r="AQ110" i="25"/>
  <c r="AQ132" i="25"/>
  <c r="AQ109" i="25"/>
  <c r="AQ130" i="25"/>
  <c r="AQ119" i="25"/>
  <c r="AQ129" i="25"/>
  <c r="AQ143" i="25"/>
  <c r="AQ102" i="25"/>
  <c r="AQ104" i="25"/>
  <c r="AQ123" i="25"/>
  <c r="AQ152" i="25"/>
  <c r="AQ107" i="25"/>
  <c r="AQ101" i="25"/>
  <c r="AQ103" i="25"/>
  <c r="AQ153" i="25"/>
  <c r="AQ127" i="25"/>
  <c r="AQ125" i="25"/>
  <c r="AQ145" i="25"/>
  <c r="AQ148" i="25"/>
  <c r="AQ106" i="25"/>
  <c r="AQ59" i="25"/>
  <c r="AQ65" i="25"/>
  <c r="AQ64" i="25"/>
  <c r="AQ62" i="25"/>
  <c r="AQ63" i="25"/>
  <c r="AQ60" i="25"/>
  <c r="AQ55" i="25"/>
  <c r="AQ66" i="25"/>
  <c r="AQ67" i="25"/>
  <c r="AQ58" i="25"/>
  <c r="AQ61" i="25"/>
  <c r="AQ56" i="25"/>
  <c r="AQ68" i="25"/>
  <c r="AQ30" i="25"/>
  <c r="AQ22" i="25"/>
  <c r="AQ18" i="25"/>
  <c r="AQ13" i="25"/>
  <c r="AQ20" i="25"/>
  <c r="AQ21" i="25"/>
  <c r="AQ14" i="25"/>
  <c r="AQ9" i="25"/>
  <c r="AQ15" i="25"/>
  <c r="AQ10" i="25"/>
  <c r="AQ19" i="25"/>
  <c r="AQ25" i="25" l="1"/>
  <c r="AQ92" i="25"/>
  <c r="AR86" i="25"/>
  <c r="AR87" i="25"/>
  <c r="AR85" i="25"/>
  <c r="AR82" i="25"/>
  <c r="AR90" i="25"/>
  <c r="AR83" i="25"/>
  <c r="AR78" i="25"/>
  <c r="AR77" i="25"/>
  <c r="AR89" i="25"/>
  <c r="AR84" i="25"/>
  <c r="AR80" i="25"/>
  <c r="AR76" i="25"/>
  <c r="AS73" i="25"/>
  <c r="AR88" i="25"/>
  <c r="AR79" i="25"/>
  <c r="AR81" i="25"/>
  <c r="AR18" i="25"/>
  <c r="AR25" i="25"/>
  <c r="AR147" i="25"/>
  <c r="AR13" i="25"/>
  <c r="AR35" i="25"/>
  <c r="AR56" i="25"/>
  <c r="AR124" i="25"/>
  <c r="AR149" i="25"/>
  <c r="AR130" i="25"/>
  <c r="AR109" i="25"/>
  <c r="AR108" i="25"/>
  <c r="AR144" i="25"/>
  <c r="AR58" i="25"/>
  <c r="AR97" i="25"/>
  <c r="AR143" i="25"/>
  <c r="AR14" i="25"/>
  <c r="AR67" i="25"/>
  <c r="AR131" i="25"/>
  <c r="AR129" i="25"/>
  <c r="AR118" i="25"/>
  <c r="AR10" i="25"/>
  <c r="AR145" i="25"/>
  <c r="AR59" i="25"/>
  <c r="AR127" i="25"/>
  <c r="AR65" i="25"/>
  <c r="AR68" i="25"/>
  <c r="AR100" i="25"/>
  <c r="AR63" i="25"/>
  <c r="AR98" i="25"/>
  <c r="AR148" i="25"/>
  <c r="AR62" i="25"/>
  <c r="AR132" i="25"/>
  <c r="AR153" i="25"/>
  <c r="AR106" i="25"/>
  <c r="AR20" i="25"/>
  <c r="AR150" i="25"/>
  <c r="AR139" i="25"/>
  <c r="AR61" i="25"/>
  <c r="AR60" i="25"/>
  <c r="AR101" i="25"/>
  <c r="AR19" i="25"/>
  <c r="AR107" i="25"/>
  <c r="AR110" i="25"/>
  <c r="AR121" i="25"/>
  <c r="AR105" i="25"/>
  <c r="AR15" i="25"/>
  <c r="AR30" i="25"/>
  <c r="AR104" i="25"/>
  <c r="AR64" i="25"/>
  <c r="AR125" i="25"/>
  <c r="AR120" i="25"/>
  <c r="AR66" i="25"/>
  <c r="AR55" i="25"/>
  <c r="AR119" i="25"/>
  <c r="AR103" i="25"/>
  <c r="AR102" i="25"/>
  <c r="AR122" i="25"/>
  <c r="AR21" i="25"/>
  <c r="AR128" i="25"/>
  <c r="AR152" i="25"/>
  <c r="AR142" i="25"/>
  <c r="AR126" i="25"/>
  <c r="AR123" i="25"/>
  <c r="AR146" i="25"/>
  <c r="AR9" i="25"/>
  <c r="AR22" i="25"/>
  <c r="AR46" i="25"/>
  <c r="AR36" i="25"/>
  <c r="AR39" i="25"/>
  <c r="AR34" i="25"/>
  <c r="AR42" i="25"/>
  <c r="AR33" i="25"/>
  <c r="AR41" i="25"/>
  <c r="AS32" i="25"/>
  <c r="AS37" i="25"/>
  <c r="AS38" i="25"/>
  <c r="AS43" i="25"/>
  <c r="AS44" i="25"/>
  <c r="AS45" i="25"/>
  <c r="AQ48" i="25"/>
  <c r="AR151" i="25"/>
  <c r="AS136" i="25"/>
  <c r="AS31" i="25"/>
  <c r="AS94" i="25"/>
  <c r="AS2" i="25"/>
  <c r="AS3" i="25"/>
  <c r="AS14" i="25" s="1"/>
  <c r="AT4" i="25"/>
  <c r="AS115" i="25"/>
  <c r="AS29" i="25"/>
  <c r="AS6" i="25"/>
  <c r="AS52" i="25"/>
  <c r="AQ134" i="25"/>
  <c r="AS83" i="25" l="1"/>
  <c r="AS80" i="25"/>
  <c r="AS87" i="25"/>
  <c r="AS89" i="25"/>
  <c r="AS78" i="25"/>
  <c r="AS86" i="25"/>
  <c r="AR92" i="25"/>
  <c r="AS79" i="25"/>
  <c r="AS90" i="25"/>
  <c r="AS85" i="25"/>
  <c r="AS82" i="25"/>
  <c r="AS84" i="25"/>
  <c r="AT73" i="25"/>
  <c r="AS88" i="25"/>
  <c r="AS77" i="25"/>
  <c r="AS81" i="25"/>
  <c r="AS76" i="25"/>
  <c r="AS25" i="25"/>
  <c r="AS10" i="25"/>
  <c r="AS35" i="25"/>
  <c r="AS131" i="25"/>
  <c r="AS142" i="25"/>
  <c r="AS13" i="25"/>
  <c r="AS100" i="25"/>
  <c r="AS68" i="25"/>
  <c r="AS130" i="25"/>
  <c r="AS110" i="25"/>
  <c r="AS20" i="25"/>
  <c r="AS58" i="25"/>
  <c r="AS126" i="25"/>
  <c r="AS101" i="25"/>
  <c r="AS65" i="25"/>
  <c r="AS19" i="25"/>
  <c r="AS106" i="25"/>
  <c r="AS103" i="25"/>
  <c r="AS132" i="25"/>
  <c r="AS63" i="25"/>
  <c r="AS125" i="25"/>
  <c r="AS145" i="25"/>
  <c r="AS139" i="25"/>
  <c r="AS55" i="25"/>
  <c r="AS105" i="25"/>
  <c r="AS147" i="25"/>
  <c r="AS15" i="25"/>
  <c r="AS144" i="25"/>
  <c r="AS146" i="25"/>
  <c r="AS152" i="25"/>
  <c r="AS151" i="25"/>
  <c r="AS64" i="25"/>
  <c r="AS56" i="25"/>
  <c r="AS66" i="25"/>
  <c r="AR134" i="25"/>
  <c r="AS109" i="25"/>
  <c r="AS60" i="25"/>
  <c r="AS104" i="25"/>
  <c r="AS98" i="25"/>
  <c r="AS150" i="25"/>
  <c r="AS129" i="25"/>
  <c r="AS102" i="25"/>
  <c r="AS9" i="25"/>
  <c r="AS18" i="25"/>
  <c r="AS121" i="25"/>
  <c r="AS62" i="25"/>
  <c r="AS153" i="25"/>
  <c r="AS108" i="25"/>
  <c r="AS148" i="25"/>
  <c r="AS97" i="25"/>
  <c r="AS61" i="25"/>
  <c r="AS30" i="25"/>
  <c r="AS149" i="25"/>
  <c r="AS21" i="25"/>
  <c r="AS36" i="25"/>
  <c r="AS124" i="25"/>
  <c r="AS46" i="25"/>
  <c r="AR48" i="25"/>
  <c r="AS118" i="25"/>
  <c r="AS127" i="25"/>
  <c r="AS128" i="25"/>
  <c r="AS122" i="25"/>
  <c r="AS59" i="25"/>
  <c r="AS42" i="25"/>
  <c r="AS33" i="25"/>
  <c r="AS22" i="25"/>
  <c r="AS143" i="25"/>
  <c r="AS120" i="25"/>
  <c r="AT32" i="25"/>
  <c r="AT37" i="25"/>
  <c r="AT38" i="25"/>
  <c r="AT44" i="25"/>
  <c r="AT43" i="25"/>
  <c r="AT45" i="25"/>
  <c r="AS41" i="25"/>
  <c r="AS40" i="25"/>
  <c r="AS39" i="25"/>
  <c r="AS34" i="25"/>
  <c r="AS107" i="25"/>
  <c r="AS119" i="25"/>
  <c r="AS67" i="25"/>
  <c r="AS123" i="25"/>
  <c r="AT3" i="25"/>
  <c r="AT42" i="25" s="1"/>
  <c r="AT115" i="25"/>
  <c r="AT31" i="25"/>
  <c r="AU4" i="25"/>
  <c r="AT136" i="25"/>
  <c r="AT94" i="25"/>
  <c r="AT29" i="25"/>
  <c r="AT6" i="25"/>
  <c r="AT52" i="25"/>
  <c r="AT2" i="25"/>
  <c r="AT130" i="25"/>
  <c r="AU115" i="25" l="1"/>
  <c r="AT126" i="25"/>
  <c r="AT67" i="25"/>
  <c r="AT60" i="25"/>
  <c r="AT58" i="25"/>
  <c r="AT64" i="25"/>
  <c r="AT101" i="25"/>
  <c r="AT103" i="25"/>
  <c r="AT122" i="25"/>
  <c r="AT20" i="25"/>
  <c r="AT61" i="25"/>
  <c r="AT65" i="25"/>
  <c r="AT14" i="25"/>
  <c r="AT21" i="25"/>
  <c r="AT145" i="25"/>
  <c r="AT100" i="25"/>
  <c r="AT107" i="25"/>
  <c r="AT147" i="25"/>
  <c r="AT15" i="25"/>
  <c r="AT132" i="25"/>
  <c r="AT109" i="25"/>
  <c r="AT131" i="25"/>
  <c r="AT151" i="25"/>
  <c r="AT119" i="25"/>
  <c r="AT108" i="25"/>
  <c r="AT55" i="25"/>
  <c r="AT123" i="25"/>
  <c r="AT13" i="25"/>
  <c r="AT25" i="25"/>
  <c r="AS92" i="25"/>
  <c r="AT81" i="25"/>
  <c r="AT83" i="25"/>
  <c r="AT84" i="25"/>
  <c r="AT88" i="25"/>
  <c r="AT82" i="25"/>
  <c r="AT86" i="25"/>
  <c r="AT77" i="25"/>
  <c r="AT89" i="25"/>
  <c r="AT80" i="25"/>
  <c r="AT78" i="25"/>
  <c r="AT90" i="25"/>
  <c r="AU29" i="25"/>
  <c r="AU73" i="25"/>
  <c r="AT79" i="25"/>
  <c r="AT85" i="25"/>
  <c r="AT87" i="25"/>
  <c r="AT76" i="25"/>
  <c r="AU31" i="25"/>
  <c r="AT35" i="25"/>
  <c r="AU136" i="25"/>
  <c r="AU52" i="25"/>
  <c r="AU3" i="25"/>
  <c r="AU41" i="25" s="1"/>
  <c r="AU2" i="25"/>
  <c r="AV4" i="25"/>
  <c r="AT63" i="25"/>
  <c r="AT98" i="25"/>
  <c r="AT22" i="25"/>
  <c r="AT150" i="25"/>
  <c r="AU94" i="25"/>
  <c r="AU6" i="25"/>
  <c r="AT66" i="25"/>
  <c r="AT110" i="25"/>
  <c r="AT46" i="25"/>
  <c r="AT36" i="25"/>
  <c r="AT127" i="25"/>
  <c r="AS48" i="25"/>
  <c r="AS134" i="25"/>
  <c r="AT41" i="25"/>
  <c r="AT40" i="25"/>
  <c r="AV43" i="25"/>
  <c r="AT39" i="25"/>
  <c r="AT34" i="25"/>
  <c r="AT33" i="25"/>
  <c r="AU43" i="25"/>
  <c r="AU44" i="25"/>
  <c r="AU45" i="25"/>
  <c r="AU32" i="25"/>
  <c r="AU38" i="25"/>
  <c r="AU37" i="25"/>
  <c r="AU40" i="25"/>
  <c r="AT148" i="25"/>
  <c r="AT144" i="25"/>
  <c r="AT152" i="25"/>
  <c r="AT129" i="25"/>
  <c r="AT121" i="25"/>
  <c r="AT30" i="25"/>
  <c r="AT139" i="25"/>
  <c r="AT125" i="25"/>
  <c r="AT18" i="25"/>
  <c r="AT106" i="25"/>
  <c r="AT102" i="25"/>
  <c r="AT59" i="25"/>
  <c r="AT9" i="25"/>
  <c r="AT120" i="25"/>
  <c r="AT56" i="25"/>
  <c r="AT118" i="25"/>
  <c r="AT62" i="25"/>
  <c r="AT105" i="25"/>
  <c r="AT142" i="25"/>
  <c r="AT19" i="25"/>
  <c r="AT10" i="25"/>
  <c r="AT97" i="25"/>
  <c r="AT128" i="25"/>
  <c r="AT149" i="25"/>
  <c r="AT143" i="25"/>
  <c r="AT153" i="25"/>
  <c r="AT68" i="25"/>
  <c r="AT124" i="25"/>
  <c r="AT104" i="25"/>
  <c r="AT146" i="25"/>
  <c r="C47" i="1"/>
  <c r="C17" i="1"/>
  <c r="K45" i="1" l="1"/>
  <c r="K49" i="1" s="1"/>
  <c r="F141" i="25" s="1"/>
  <c r="AR141" i="25" s="1"/>
  <c r="AV32" i="25"/>
  <c r="AV6" i="25"/>
  <c r="AV2" i="25"/>
  <c r="AV3" i="25"/>
  <c r="AV34" i="25" s="1"/>
  <c r="AV136" i="25"/>
  <c r="AV52" i="25"/>
  <c r="AV31" i="25"/>
  <c r="AV29" i="25"/>
  <c r="AV94" i="25"/>
  <c r="AV115" i="25"/>
  <c r="AW4" i="25"/>
  <c r="AV45" i="25"/>
  <c r="AV37" i="25"/>
  <c r="AU90" i="25"/>
  <c r="AU84" i="25"/>
  <c r="AU77" i="25"/>
  <c r="AU76" i="25"/>
  <c r="AV44" i="25"/>
  <c r="AU89" i="25"/>
  <c r="AU85" i="25"/>
  <c r="AU79" i="25"/>
  <c r="AU81" i="25"/>
  <c r="AT92" i="25"/>
  <c r="AU88" i="25"/>
  <c r="AU78" i="25"/>
  <c r="AU86" i="25"/>
  <c r="AU82" i="25"/>
  <c r="AV73" i="25"/>
  <c r="AV79" i="25"/>
  <c r="AV38" i="25"/>
  <c r="AU87" i="25"/>
  <c r="AU80" i="25"/>
  <c r="AU83" i="25"/>
  <c r="AU102" i="25"/>
  <c r="AU59" i="25"/>
  <c r="AU119" i="25"/>
  <c r="AU60" i="25"/>
  <c r="AU13" i="25"/>
  <c r="AU151" i="25"/>
  <c r="AU35" i="25"/>
  <c r="AU128" i="25"/>
  <c r="AU9" i="25"/>
  <c r="AU150" i="25"/>
  <c r="AU25" i="25"/>
  <c r="AU121" i="25"/>
  <c r="AU101" i="25"/>
  <c r="AU14" i="25"/>
  <c r="AU127" i="25"/>
  <c r="AU153" i="25"/>
  <c r="AU15" i="25"/>
  <c r="AU118" i="25"/>
  <c r="AU103" i="25"/>
  <c r="AU139" i="25"/>
  <c r="AU100" i="25"/>
  <c r="AU110" i="25"/>
  <c r="AU98" i="25"/>
  <c r="AU65" i="25"/>
  <c r="AU145" i="25"/>
  <c r="AU19" i="25"/>
  <c r="AU125" i="25"/>
  <c r="AU58" i="25"/>
  <c r="AU146" i="25"/>
  <c r="AU149" i="25"/>
  <c r="AU152" i="25"/>
  <c r="AU62" i="25"/>
  <c r="AU144" i="25"/>
  <c r="AU131" i="25"/>
  <c r="AU142" i="25"/>
  <c r="AU129" i="25"/>
  <c r="AU148" i="25"/>
  <c r="AU66" i="25"/>
  <c r="AU107" i="25"/>
  <c r="AU97" i="25"/>
  <c r="AU126" i="25"/>
  <c r="AU34" i="25"/>
  <c r="AU105" i="25"/>
  <c r="AU18" i="25"/>
  <c r="AU67" i="25"/>
  <c r="AU147" i="25"/>
  <c r="AU108" i="25"/>
  <c r="AU124" i="25"/>
  <c r="AU68" i="25"/>
  <c r="AU55" i="25"/>
  <c r="AU30" i="25"/>
  <c r="AU122" i="25"/>
  <c r="AU132" i="25"/>
  <c r="AU104" i="25"/>
  <c r="AU20" i="25"/>
  <c r="AU10" i="25"/>
  <c r="AU21" i="25"/>
  <c r="AU64" i="25"/>
  <c r="AU56" i="25"/>
  <c r="AU39" i="25"/>
  <c r="AU33" i="25"/>
  <c r="AU46" i="25"/>
  <c r="AU42" i="25"/>
  <c r="AU106" i="25"/>
  <c r="AU63" i="25"/>
  <c r="AU143" i="25"/>
  <c r="AU109" i="25"/>
  <c r="AU130" i="25"/>
  <c r="AU22" i="25"/>
  <c r="AU120" i="25"/>
  <c r="AU61" i="25"/>
  <c r="AU123" i="25"/>
  <c r="AU36" i="25"/>
  <c r="AT134" i="25"/>
  <c r="AW32" i="25"/>
  <c r="AW37" i="25"/>
  <c r="AW44" i="25"/>
  <c r="AW45" i="25"/>
  <c r="AT48" i="25"/>
  <c r="AV152" i="25"/>
  <c r="AV21" i="25"/>
  <c r="AV143" i="25"/>
  <c r="AV149" i="25"/>
  <c r="AV19" i="25"/>
  <c r="AT141" i="25"/>
  <c r="AV131" i="25"/>
  <c r="AV126" i="25"/>
  <c r="AV67" i="25"/>
  <c r="AV10" i="25"/>
  <c r="AW94" i="25"/>
  <c r="AW31" i="25"/>
  <c r="AW2" i="25"/>
  <c r="AX4" i="25"/>
  <c r="AV146" i="25"/>
  <c r="U141" i="25"/>
  <c r="AF141" i="25"/>
  <c r="AG141" i="25"/>
  <c r="AV147" i="25" l="1"/>
  <c r="AV142" i="25"/>
  <c r="AV132" i="25"/>
  <c r="AV139" i="25"/>
  <c r="AV55" i="25"/>
  <c r="AV118" i="25"/>
  <c r="AV63" i="25"/>
  <c r="AV145" i="25"/>
  <c r="AV64" i="25"/>
  <c r="AP141" i="25"/>
  <c r="N141" i="25"/>
  <c r="AC141" i="25"/>
  <c r="L141" i="25"/>
  <c r="AV124" i="25"/>
  <c r="AV151" i="25"/>
  <c r="AV141" i="25"/>
  <c r="AV119" i="25"/>
  <c r="AV18" i="25"/>
  <c r="AV148" i="25"/>
  <c r="AV125" i="25"/>
  <c r="AV150" i="25"/>
  <c r="AV60" i="25"/>
  <c r="AV40" i="25"/>
  <c r="AV102" i="25"/>
  <c r="AV144" i="25"/>
  <c r="AV61" i="25"/>
  <c r="AV110" i="25"/>
  <c r="AV130" i="25"/>
  <c r="AV106" i="25"/>
  <c r="AV153" i="25"/>
  <c r="AV68" i="25"/>
  <c r="AV41" i="25"/>
  <c r="AV35" i="25"/>
  <c r="AV87" i="25"/>
  <c r="X141" i="25"/>
  <c r="AI141" i="25"/>
  <c r="O141" i="25"/>
  <c r="M141" i="25"/>
  <c r="I141" i="25"/>
  <c r="AA141" i="25"/>
  <c r="AQ141" i="25"/>
  <c r="AM141" i="25"/>
  <c r="Y141" i="25"/>
  <c r="P141" i="25"/>
  <c r="J141" i="25"/>
  <c r="AU141" i="25"/>
  <c r="AK141" i="25"/>
  <c r="H141" i="25"/>
  <c r="AJ141" i="25"/>
  <c r="Z141" i="25"/>
  <c r="AE141" i="25"/>
  <c r="AO141" i="25"/>
  <c r="Q141" i="25"/>
  <c r="AB141" i="25"/>
  <c r="V141" i="25"/>
  <c r="AS141" i="25"/>
  <c r="AH141" i="25"/>
  <c r="AD141" i="25"/>
  <c r="K141" i="25"/>
  <c r="S141" i="25"/>
  <c r="T141" i="25"/>
  <c r="AN141" i="25"/>
  <c r="R141" i="25"/>
  <c r="AL141" i="25"/>
  <c r="W141" i="25"/>
  <c r="AW38" i="25"/>
  <c r="AV77" i="25"/>
  <c r="AV22" i="25"/>
  <c r="AW3" i="25"/>
  <c r="AW9" i="25" s="1"/>
  <c r="AW115" i="25"/>
  <c r="AW6" i="25"/>
  <c r="AV66" i="25"/>
  <c r="AV15" i="25"/>
  <c r="AV62" i="25"/>
  <c r="AV30" i="25"/>
  <c r="AV109" i="25"/>
  <c r="AV59" i="25"/>
  <c r="AV105" i="25"/>
  <c r="AV56" i="25"/>
  <c r="AV13" i="25"/>
  <c r="AV14" i="25"/>
  <c r="AV127" i="25"/>
  <c r="AV9" i="25"/>
  <c r="AV33" i="25"/>
  <c r="AW43" i="25"/>
  <c r="AV46" i="25"/>
  <c r="AV80" i="25"/>
  <c r="AV78" i="25"/>
  <c r="AV108" i="25"/>
  <c r="AV107" i="25"/>
  <c r="AW136" i="25"/>
  <c r="AW52" i="25"/>
  <c r="AW29" i="25"/>
  <c r="AV101" i="25"/>
  <c r="AV104" i="25"/>
  <c r="AV97" i="25"/>
  <c r="AV58" i="25"/>
  <c r="AV128" i="25"/>
  <c r="AV129" i="25"/>
  <c r="AV120" i="25"/>
  <c r="AV121" i="25"/>
  <c r="AV100" i="25"/>
  <c r="AV122" i="25"/>
  <c r="AV103" i="25"/>
  <c r="AV98" i="25"/>
  <c r="AV65" i="25"/>
  <c r="AV20" i="25"/>
  <c r="AV123" i="25"/>
  <c r="AV39" i="25"/>
  <c r="AV42" i="25"/>
  <c r="AV36" i="25"/>
  <c r="AV25" i="25"/>
  <c r="AV88" i="25"/>
  <c r="AV89" i="25"/>
  <c r="AV84" i="25"/>
  <c r="AV76" i="25"/>
  <c r="AV90" i="25"/>
  <c r="AV83" i="25"/>
  <c r="AV85" i="25"/>
  <c r="AV81" i="25"/>
  <c r="AV86" i="25"/>
  <c r="AV82" i="25"/>
  <c r="AU92" i="25"/>
  <c r="AW73" i="25"/>
  <c r="AW77" i="25"/>
  <c r="AX73" i="25"/>
  <c r="AU48" i="25"/>
  <c r="AU134" i="25"/>
  <c r="AX32" i="25"/>
  <c r="AX37" i="25"/>
  <c r="AX38" i="25"/>
  <c r="AX44" i="25"/>
  <c r="AX43" i="25"/>
  <c r="AX45" i="25"/>
  <c r="AX31" i="25"/>
  <c r="AX94" i="25"/>
  <c r="AX136" i="25"/>
  <c r="AX6" i="25"/>
  <c r="AY4" i="25"/>
  <c r="AX115" i="25"/>
  <c r="AX2" i="25"/>
  <c r="AX52" i="25"/>
  <c r="AX29" i="25"/>
  <c r="AX3" i="25"/>
  <c r="AX14" i="25" s="1"/>
  <c r="AW22" i="25" l="1"/>
  <c r="AW125" i="25"/>
  <c r="AW103" i="25"/>
  <c r="AW39" i="25"/>
  <c r="AW152" i="25"/>
  <c r="AW42" i="25"/>
  <c r="AW36" i="25"/>
  <c r="AW109" i="25"/>
  <c r="AW41" i="25"/>
  <c r="AW35" i="25"/>
  <c r="AW146" i="25"/>
  <c r="AW63" i="25"/>
  <c r="AW81" i="25"/>
  <c r="AW118" i="25"/>
  <c r="AW20" i="25"/>
  <c r="AW139" i="25"/>
  <c r="AW127" i="25"/>
  <c r="AW141" i="25"/>
  <c r="AW100" i="25"/>
  <c r="AW98" i="25"/>
  <c r="AW90" i="25"/>
  <c r="AW56" i="25"/>
  <c r="AW19" i="25"/>
  <c r="AW126" i="25"/>
  <c r="AW65" i="25"/>
  <c r="AW130" i="25"/>
  <c r="AW55" i="25"/>
  <c r="AW14" i="25"/>
  <c r="AW131" i="25"/>
  <c r="AW108" i="25"/>
  <c r="AW87" i="25"/>
  <c r="AW78" i="25"/>
  <c r="AW150" i="25"/>
  <c r="AW122" i="25"/>
  <c r="AW142" i="25"/>
  <c r="AW151" i="25"/>
  <c r="AW64" i="25"/>
  <c r="AW101" i="25"/>
  <c r="AW121" i="25"/>
  <c r="AW61" i="25"/>
  <c r="AW97" i="25"/>
  <c r="AW88" i="25"/>
  <c r="AW86" i="25"/>
  <c r="AV48" i="25"/>
  <c r="AW106" i="25"/>
  <c r="AW124" i="25"/>
  <c r="AW105" i="25"/>
  <c r="AW67" i="25"/>
  <c r="AW147" i="25"/>
  <c r="AW129" i="25"/>
  <c r="AW120" i="25"/>
  <c r="AW60" i="25"/>
  <c r="AW18" i="25"/>
  <c r="AW110" i="25"/>
  <c r="AW102" i="25"/>
  <c r="AW104" i="25"/>
  <c r="AW128" i="25"/>
  <c r="AW30" i="25"/>
  <c r="AW144" i="25"/>
  <c r="AW132" i="25"/>
  <c r="AW15" i="25"/>
  <c r="AW40" i="25"/>
  <c r="AW82" i="25"/>
  <c r="AW89" i="25"/>
  <c r="AW76" i="25"/>
  <c r="AW79" i="25"/>
  <c r="AW143" i="25"/>
  <c r="AW10" i="25"/>
  <c r="AW59" i="25"/>
  <c r="AW68" i="25"/>
  <c r="AW119" i="25"/>
  <c r="AW21" i="25"/>
  <c r="AW107" i="25"/>
  <c r="AW66" i="25"/>
  <c r="AW123" i="25"/>
  <c r="AW148" i="25"/>
  <c r="AW58" i="25"/>
  <c r="AW149" i="25"/>
  <c r="AW153" i="25"/>
  <c r="AW13" i="25"/>
  <c r="AW62" i="25"/>
  <c r="AW145" i="25"/>
  <c r="AW33" i="25"/>
  <c r="AW34" i="25"/>
  <c r="AW46" i="25"/>
  <c r="AW83" i="25"/>
  <c r="AW85" i="25"/>
  <c r="AW80" i="25"/>
  <c r="AW84" i="25"/>
  <c r="AV134" i="25"/>
  <c r="AW25" i="25"/>
  <c r="AV92" i="25"/>
  <c r="AX82" i="25"/>
  <c r="AX83" i="25"/>
  <c r="AX85" i="25"/>
  <c r="AX87" i="25"/>
  <c r="AX81" i="25"/>
  <c r="AX86" i="25"/>
  <c r="AX88" i="25"/>
  <c r="AY73" i="25"/>
  <c r="AX79" i="25"/>
  <c r="AX80" i="25"/>
  <c r="AX76" i="25"/>
  <c r="AX89" i="25"/>
  <c r="AX77" i="25"/>
  <c r="AX78" i="25"/>
  <c r="AX84" i="25"/>
  <c r="AX90" i="25"/>
  <c r="AX25" i="25"/>
  <c r="AX35" i="25"/>
  <c r="AX46" i="25"/>
  <c r="AX36" i="25"/>
  <c r="AY37" i="25"/>
  <c r="AY43" i="25"/>
  <c r="AY44" i="25"/>
  <c r="AY45" i="25"/>
  <c r="AY32" i="25"/>
  <c r="AY38" i="25"/>
  <c r="AX41" i="25"/>
  <c r="AX42" i="25"/>
  <c r="AX40" i="25"/>
  <c r="AX39" i="25"/>
  <c r="AX34" i="25"/>
  <c r="AX33" i="25"/>
  <c r="AX147" i="25"/>
  <c r="AX64" i="25"/>
  <c r="AX120" i="25"/>
  <c r="AX62" i="25"/>
  <c r="AX98" i="25"/>
  <c r="AX101" i="25"/>
  <c r="AX107" i="25"/>
  <c r="AX150" i="25"/>
  <c r="AX105" i="25"/>
  <c r="AX20" i="25"/>
  <c r="AX142" i="25"/>
  <c r="AX129" i="25"/>
  <c r="AX97" i="25"/>
  <c r="AX121" i="25"/>
  <c r="AX104" i="25"/>
  <c r="AX149" i="25"/>
  <c r="AX139" i="25"/>
  <c r="AX132" i="25"/>
  <c r="AX100" i="25"/>
  <c r="AX68" i="25"/>
  <c r="AX153" i="25"/>
  <c r="AX63" i="25"/>
  <c r="AX30" i="25"/>
  <c r="AX66" i="25"/>
  <c r="AX123" i="25"/>
  <c r="AX103" i="25"/>
  <c r="AX106" i="25"/>
  <c r="AX124" i="25"/>
  <c r="AX65" i="25"/>
  <c r="AX127" i="25"/>
  <c r="AX110" i="25"/>
  <c r="AX148" i="25"/>
  <c r="AX128" i="25"/>
  <c r="AX67" i="25"/>
  <c r="AX141" i="25"/>
  <c r="AX151" i="25"/>
  <c r="AX152" i="25"/>
  <c r="AX109" i="25"/>
  <c r="AX15" i="25"/>
  <c r="AX58" i="25"/>
  <c r="AX60" i="25"/>
  <c r="AX22" i="25"/>
  <c r="AZ4" i="25"/>
  <c r="AY31" i="25"/>
  <c r="AY115" i="25"/>
  <c r="AY6" i="25"/>
  <c r="AY2" i="25"/>
  <c r="AY94" i="25"/>
  <c r="AY29" i="25"/>
  <c r="AY136" i="25"/>
  <c r="AY52" i="25"/>
  <c r="AY3" i="25"/>
  <c r="AY15" i="25" s="1"/>
  <c r="AX119" i="25"/>
  <c r="AX131" i="25"/>
  <c r="AX146" i="25"/>
  <c r="AX10" i="25"/>
  <c r="AX108" i="25"/>
  <c r="AX21" i="25"/>
  <c r="AX145" i="25"/>
  <c r="AX61" i="25"/>
  <c r="AX56" i="25"/>
  <c r="AX122" i="25"/>
  <c r="AX118" i="25"/>
  <c r="AX18" i="25"/>
  <c r="AX143" i="25"/>
  <c r="AX102" i="25"/>
  <c r="AX9" i="25"/>
  <c r="AX126" i="25"/>
  <c r="AX55" i="25"/>
  <c r="AX144" i="25"/>
  <c r="AX13" i="25"/>
  <c r="AX130" i="25"/>
  <c r="AX125" i="25"/>
  <c r="AX59" i="25"/>
  <c r="AX19" i="25"/>
  <c r="AW48" i="25" l="1"/>
  <c r="AW92" i="25"/>
  <c r="AW134" i="25"/>
  <c r="AX92" i="25"/>
  <c r="AY90" i="25"/>
  <c r="AY86" i="25"/>
  <c r="AY83" i="25"/>
  <c r="AY77" i="25"/>
  <c r="AY89" i="25"/>
  <c r="AY79" i="25"/>
  <c r="AY85" i="25"/>
  <c r="AY81" i="25"/>
  <c r="AZ73" i="25"/>
  <c r="AY88" i="25"/>
  <c r="AY80" i="25"/>
  <c r="AY82" i="25"/>
  <c r="AY84" i="25"/>
  <c r="AY87" i="25"/>
  <c r="AY78" i="25"/>
  <c r="AY76" i="25"/>
  <c r="AY25" i="25"/>
  <c r="AY35" i="25"/>
  <c r="AY46" i="25"/>
  <c r="AY36" i="25"/>
  <c r="AY34" i="25"/>
  <c r="AY40" i="25"/>
  <c r="AZ32" i="25"/>
  <c r="AZ37" i="25"/>
  <c r="AZ38" i="25"/>
  <c r="AZ43" i="25"/>
  <c r="AZ44" i="25"/>
  <c r="AZ45" i="25"/>
  <c r="AY39" i="25"/>
  <c r="AY42" i="25"/>
  <c r="AY41" i="25"/>
  <c r="AY33" i="25"/>
  <c r="AX48" i="25"/>
  <c r="AY61" i="25"/>
  <c r="AY151" i="25"/>
  <c r="AY153" i="25"/>
  <c r="AY97" i="25"/>
  <c r="AY110" i="25"/>
  <c r="AY122" i="25"/>
  <c r="AY10" i="25"/>
  <c r="AY123" i="25"/>
  <c r="AY150" i="25"/>
  <c r="AY103" i="25"/>
  <c r="AY20" i="25"/>
  <c r="AY106" i="25"/>
  <c r="AY19" i="25"/>
  <c r="AY141" i="25"/>
  <c r="AY56" i="25"/>
  <c r="AY107" i="25"/>
  <c r="AY13" i="25"/>
  <c r="AY124" i="25"/>
  <c r="AY132" i="25"/>
  <c r="AY147" i="25"/>
  <c r="AY68" i="25"/>
  <c r="AY22" i="25"/>
  <c r="AY108" i="25"/>
  <c r="AY109" i="25"/>
  <c r="AY142" i="25"/>
  <c r="AY98" i="25"/>
  <c r="AY143" i="25"/>
  <c r="AY126" i="25"/>
  <c r="AY127" i="25"/>
  <c r="AY62" i="25"/>
  <c r="AY58" i="25"/>
  <c r="AY30" i="25"/>
  <c r="AZ2" i="25"/>
  <c r="AZ94" i="25"/>
  <c r="AZ29" i="25"/>
  <c r="AZ52" i="25"/>
  <c r="AZ31" i="25"/>
  <c r="AZ6" i="25"/>
  <c r="AZ136" i="25"/>
  <c r="BA4" i="25"/>
  <c r="AZ115" i="25"/>
  <c r="AZ3" i="25"/>
  <c r="AX134" i="25"/>
  <c r="AY146" i="25"/>
  <c r="AY139" i="25"/>
  <c r="AY14" i="25"/>
  <c r="AY144" i="25"/>
  <c r="AY100" i="25"/>
  <c r="AY145" i="25"/>
  <c r="AY101" i="25"/>
  <c r="AY21" i="25"/>
  <c r="AY67" i="25"/>
  <c r="AY55" i="25"/>
  <c r="AY128" i="25"/>
  <c r="AY63" i="25"/>
  <c r="AY129" i="25"/>
  <c r="AY64" i="25"/>
  <c r="AY60" i="25"/>
  <c r="AY118" i="25"/>
  <c r="AY119" i="25"/>
  <c r="AY102" i="25"/>
  <c r="AY125" i="25"/>
  <c r="AY152" i="25"/>
  <c r="AY130" i="25"/>
  <c r="AY65" i="25"/>
  <c r="AY131" i="25"/>
  <c r="AY66" i="25"/>
  <c r="AY9" i="25"/>
  <c r="AY120" i="25"/>
  <c r="AY121" i="25"/>
  <c r="AY59" i="25"/>
  <c r="AY18" i="25"/>
  <c r="AY148" i="25"/>
  <c r="AY104" i="25"/>
  <c r="AY149" i="25"/>
  <c r="AY105" i="25"/>
  <c r="AY92" i="25" l="1"/>
  <c r="AZ88" i="25"/>
  <c r="AZ86" i="25"/>
  <c r="AZ78" i="25"/>
  <c r="AZ82" i="25"/>
  <c r="BA73" i="25"/>
  <c r="AZ87" i="25"/>
  <c r="AZ80" i="25"/>
  <c r="AZ76" i="25"/>
  <c r="AZ90" i="25"/>
  <c r="AZ84" i="25"/>
  <c r="AZ79" i="25"/>
  <c r="AZ77" i="25"/>
  <c r="AZ89" i="25"/>
  <c r="AZ85" i="25"/>
  <c r="AZ83" i="25"/>
  <c r="AZ81" i="25"/>
  <c r="AZ25" i="25"/>
  <c r="AZ35" i="25"/>
  <c r="AZ36" i="25"/>
  <c r="AZ46" i="25"/>
  <c r="AZ42" i="25"/>
  <c r="AZ33" i="25"/>
  <c r="AZ41" i="25"/>
  <c r="BA32" i="25"/>
  <c r="BA37" i="25"/>
  <c r="BA38" i="25"/>
  <c r="BA43" i="25"/>
  <c r="BA44" i="25"/>
  <c r="BA45" i="25"/>
  <c r="AZ40" i="25"/>
  <c r="AZ39" i="25"/>
  <c r="AZ34" i="25"/>
  <c r="AY48" i="25"/>
  <c r="AZ144" i="25"/>
  <c r="AZ65" i="25"/>
  <c r="AZ61" i="25"/>
  <c r="AZ105" i="25"/>
  <c r="AZ146" i="25"/>
  <c r="AZ109" i="25"/>
  <c r="AZ128" i="25"/>
  <c r="AZ124" i="25"/>
  <c r="AZ141" i="25"/>
  <c r="AZ120" i="25"/>
  <c r="AZ119" i="25"/>
  <c r="AZ22" i="25"/>
  <c r="AZ19" i="25"/>
  <c r="AZ100" i="25"/>
  <c r="AZ148" i="25"/>
  <c r="AZ150" i="25"/>
  <c r="AZ101" i="25"/>
  <c r="AZ66" i="25"/>
  <c r="AZ125" i="25"/>
  <c r="AZ104" i="25"/>
  <c r="AZ18" i="25"/>
  <c r="AZ15" i="25"/>
  <c r="AZ97" i="25"/>
  <c r="AZ151" i="25"/>
  <c r="AZ139" i="25"/>
  <c r="AZ63" i="25"/>
  <c r="AZ130" i="25"/>
  <c r="AZ126" i="25"/>
  <c r="AZ98" i="25"/>
  <c r="AZ127" i="25"/>
  <c r="AZ55" i="25"/>
  <c r="AY134" i="25"/>
  <c r="BB4" i="25"/>
  <c r="BA6" i="25"/>
  <c r="BA136" i="25"/>
  <c r="BA31" i="25"/>
  <c r="BA2" i="25"/>
  <c r="BA94" i="25"/>
  <c r="BA29" i="25"/>
  <c r="BA52" i="25"/>
  <c r="BA115" i="25"/>
  <c r="BA3" i="25"/>
  <c r="BA33" i="25" s="1"/>
  <c r="AZ143" i="25"/>
  <c r="AZ62" i="25"/>
  <c r="AZ10" i="25"/>
  <c r="AZ153" i="25"/>
  <c r="AZ152" i="25"/>
  <c r="AZ118" i="25"/>
  <c r="AZ21" i="25"/>
  <c r="AZ102" i="25"/>
  <c r="AZ132" i="25"/>
  <c r="AZ131" i="25"/>
  <c r="AZ56" i="25"/>
  <c r="AZ59" i="25"/>
  <c r="AZ30" i="25"/>
  <c r="AZ142" i="25"/>
  <c r="AZ122" i="25"/>
  <c r="AZ107" i="25"/>
  <c r="AZ13" i="25"/>
  <c r="AZ60" i="25"/>
  <c r="AZ9" i="25"/>
  <c r="AZ121" i="25"/>
  <c r="AZ110" i="25"/>
  <c r="AZ106" i="25"/>
  <c r="AZ103" i="25"/>
  <c r="AZ68" i="25"/>
  <c r="AZ20" i="25"/>
  <c r="AZ145" i="25"/>
  <c r="AZ123" i="25"/>
  <c r="AZ129" i="25"/>
  <c r="AZ108" i="25"/>
  <c r="AZ58" i="25"/>
  <c r="AZ14" i="25"/>
  <c r="AZ147" i="25"/>
  <c r="AZ149" i="25"/>
  <c r="AZ64" i="25"/>
  <c r="AZ67" i="25"/>
  <c r="BA89" i="25" l="1"/>
  <c r="BA83" i="25"/>
  <c r="BA81" i="25"/>
  <c r="BA87" i="25"/>
  <c r="BA76" i="25"/>
  <c r="BA78" i="25"/>
  <c r="BA86" i="25"/>
  <c r="BA90" i="25"/>
  <c r="BA85" i="25"/>
  <c r="BA88" i="25"/>
  <c r="BA80" i="25"/>
  <c r="BB73" i="25"/>
  <c r="AZ92" i="25"/>
  <c r="BA77" i="25"/>
  <c r="BA84" i="25"/>
  <c r="BA82" i="25"/>
  <c r="BA79" i="25"/>
  <c r="BA25" i="25"/>
  <c r="BA35" i="25"/>
  <c r="BA36" i="25"/>
  <c r="BA46" i="25"/>
  <c r="BA41" i="25"/>
  <c r="BA40" i="25"/>
  <c r="BB32" i="25"/>
  <c r="BB37" i="25"/>
  <c r="BB38" i="25"/>
  <c r="BB43" i="25"/>
  <c r="BB45" i="25"/>
  <c r="BB44" i="25"/>
  <c r="BA39" i="25"/>
  <c r="BA34" i="25"/>
  <c r="BA42" i="25"/>
  <c r="AZ48" i="25"/>
  <c r="BA67" i="25"/>
  <c r="BA126" i="25"/>
  <c r="BA127" i="25"/>
  <c r="BA149" i="25"/>
  <c r="BA66" i="25"/>
  <c r="BA63" i="25"/>
  <c r="BA109" i="25"/>
  <c r="BA64" i="25"/>
  <c r="BA118" i="25"/>
  <c r="BA55" i="25"/>
  <c r="BA19" i="25"/>
  <c r="BA103" i="25"/>
  <c r="BA106" i="25"/>
  <c r="BA147" i="25"/>
  <c r="BA121" i="25"/>
  <c r="BA124" i="25"/>
  <c r="BA61" i="25"/>
  <c r="BA65" i="25"/>
  <c r="BA119" i="25"/>
  <c r="BA68" i="25"/>
  <c r="BA122" i="25"/>
  <c r="BA59" i="25"/>
  <c r="BA30" i="25"/>
  <c r="BA142" i="25"/>
  <c r="BA129" i="25"/>
  <c r="BA120" i="25"/>
  <c r="BA130" i="25"/>
  <c r="AZ134" i="25"/>
  <c r="BA128" i="25"/>
  <c r="BA145" i="25"/>
  <c r="BA101" i="25"/>
  <c r="BA148" i="25"/>
  <c r="BA104" i="25"/>
  <c r="BA18" i="25"/>
  <c r="BA153" i="25"/>
  <c r="BA107" i="25"/>
  <c r="BA62" i="25"/>
  <c r="BA110" i="25"/>
  <c r="BA60" i="25"/>
  <c r="BA151" i="25"/>
  <c r="BA105" i="25"/>
  <c r="BA152" i="25"/>
  <c r="BA108" i="25"/>
  <c r="BA58" i="25"/>
  <c r="BA15" i="25"/>
  <c r="BB2" i="25"/>
  <c r="BB31" i="25"/>
  <c r="BB115" i="25"/>
  <c r="BC4" i="25"/>
  <c r="BB6" i="25"/>
  <c r="BB29" i="25"/>
  <c r="BB52" i="25"/>
  <c r="BB94" i="25"/>
  <c r="BB136" i="25"/>
  <c r="BB3" i="25"/>
  <c r="BB21" i="25" s="1"/>
  <c r="BA123" i="25"/>
  <c r="BA125" i="25"/>
  <c r="BA13" i="25"/>
  <c r="BA132" i="25"/>
  <c r="BA10" i="25"/>
  <c r="BA98" i="25"/>
  <c r="BA131" i="25"/>
  <c r="BA20" i="25"/>
  <c r="BA14" i="25"/>
  <c r="BA139" i="25"/>
  <c r="BA150" i="25"/>
  <c r="BA56" i="25"/>
  <c r="BA21" i="25"/>
  <c r="BA143" i="25"/>
  <c r="BA146" i="25"/>
  <c r="BA102" i="25"/>
  <c r="BA9" i="25"/>
  <c r="BA141" i="25"/>
  <c r="BA97" i="25"/>
  <c r="BA144" i="25"/>
  <c r="BA100" i="25"/>
  <c r="BA22" i="25"/>
  <c r="BB77" i="25" l="1"/>
  <c r="BB80" i="25"/>
  <c r="BB82" i="25"/>
  <c r="BB89" i="25"/>
  <c r="BB85" i="25"/>
  <c r="BB83" i="25"/>
  <c r="BB79" i="25"/>
  <c r="BB90" i="25"/>
  <c r="BB81" i="25"/>
  <c r="BB84" i="25"/>
  <c r="BB87" i="25"/>
  <c r="BA92" i="25"/>
  <c r="BC73" i="25"/>
  <c r="BB78" i="25"/>
  <c r="BB86" i="25"/>
  <c r="BB88" i="25"/>
  <c r="BB76" i="25"/>
  <c r="BB25" i="25"/>
  <c r="BB35" i="25"/>
  <c r="BB36" i="25"/>
  <c r="BB46" i="25"/>
  <c r="BC43" i="25"/>
  <c r="BC44" i="25"/>
  <c r="BC45" i="25"/>
  <c r="BC37" i="25"/>
  <c r="BC32" i="25"/>
  <c r="BC38" i="25"/>
  <c r="BB33" i="25"/>
  <c r="BB41" i="25"/>
  <c r="BB42" i="25"/>
  <c r="BB40" i="25"/>
  <c r="BB39" i="25"/>
  <c r="BB34" i="25"/>
  <c r="BA48" i="25"/>
  <c r="D9" i="5"/>
  <c r="C14" i="5"/>
  <c r="BB139" i="25"/>
  <c r="BB63" i="25"/>
  <c r="BB153" i="25"/>
  <c r="BB108" i="25"/>
  <c r="BB65" i="25"/>
  <c r="BB143" i="25"/>
  <c r="BB151" i="25"/>
  <c r="BB132" i="25"/>
  <c r="BB130" i="25"/>
  <c r="BB142" i="25"/>
  <c r="BB131" i="25"/>
  <c r="BB147" i="25"/>
  <c r="BB98" i="25"/>
  <c r="BB109" i="25"/>
  <c r="BB18" i="25"/>
  <c r="BB152" i="25"/>
  <c r="BB64" i="25"/>
  <c r="BB103" i="25"/>
  <c r="BB20" i="25"/>
  <c r="BB121" i="25"/>
  <c r="BB129" i="25"/>
  <c r="BB128" i="25"/>
  <c r="BB149" i="25"/>
  <c r="BB127" i="25"/>
  <c r="BB105" i="25"/>
  <c r="BB61" i="25"/>
  <c r="BB14" i="25"/>
  <c r="BB124" i="25"/>
  <c r="BB148" i="25"/>
  <c r="BB126" i="25"/>
  <c r="BB104" i="25"/>
  <c r="BB60" i="25"/>
  <c r="BB13" i="25"/>
  <c r="BC2" i="25"/>
  <c r="BC29" i="25"/>
  <c r="BC31" i="25"/>
  <c r="BC115" i="25"/>
  <c r="BC6" i="25"/>
  <c r="BC52" i="25"/>
  <c r="BC94" i="25"/>
  <c r="BC136" i="25"/>
  <c r="BC3" i="25"/>
  <c r="BB59" i="25"/>
  <c r="BB55" i="25"/>
  <c r="BB125" i="25"/>
  <c r="BB107" i="25"/>
  <c r="BB120" i="25"/>
  <c r="BB145" i="25"/>
  <c r="BB123" i="25"/>
  <c r="BB101" i="25"/>
  <c r="BB10" i="25"/>
  <c r="BB110" i="25"/>
  <c r="BB66" i="25"/>
  <c r="BB19" i="25"/>
  <c r="BB144" i="25"/>
  <c r="BB122" i="25"/>
  <c r="BB100" i="25"/>
  <c r="BB56" i="25"/>
  <c r="BB9" i="25"/>
  <c r="BB67" i="25"/>
  <c r="BB30" i="25"/>
  <c r="BB150" i="25"/>
  <c r="BB106" i="25"/>
  <c r="BB62" i="25"/>
  <c r="BB15" i="25"/>
  <c r="BB141" i="25"/>
  <c r="BB119" i="25"/>
  <c r="BB97" i="25"/>
  <c r="BB22" i="25"/>
  <c r="BB146" i="25"/>
  <c r="BB102" i="25"/>
  <c r="BB58" i="25"/>
  <c r="BB118" i="25"/>
  <c r="BB68" i="25"/>
  <c r="BA134" i="25"/>
  <c r="BC41" i="25" l="1"/>
  <c r="BE86" i="25"/>
  <c r="BE87" i="25"/>
  <c r="BE79" i="25"/>
  <c r="BE78" i="25"/>
  <c r="BG88" i="25"/>
  <c r="BG86" i="25"/>
  <c r="BE85" i="25"/>
  <c r="BE83" i="25"/>
  <c r="BG89" i="25"/>
  <c r="BF80" i="25"/>
  <c r="BF85" i="25"/>
  <c r="BG76" i="25"/>
  <c r="BF90" i="25"/>
  <c r="BF83" i="25"/>
  <c r="BG87" i="25"/>
  <c r="BG90" i="25"/>
  <c r="BF79" i="25"/>
  <c r="BF87" i="25"/>
  <c r="BF88" i="25"/>
  <c r="BF84" i="25"/>
  <c r="BF89" i="25"/>
  <c r="BF78" i="25"/>
  <c r="BG85" i="25"/>
  <c r="BE81" i="25"/>
  <c r="BF86" i="25"/>
  <c r="BF76" i="25"/>
  <c r="BF77" i="25"/>
  <c r="BC90" i="25"/>
  <c r="BE90" i="25" s="1"/>
  <c r="BC79" i="25"/>
  <c r="BG79" i="25" s="1"/>
  <c r="BC83" i="25"/>
  <c r="BG83" i="25" s="1"/>
  <c r="BC81" i="25"/>
  <c r="BH81" i="25" s="1"/>
  <c r="BC89" i="25"/>
  <c r="BE89" i="25" s="1"/>
  <c r="BC80" i="25"/>
  <c r="BC84" i="25"/>
  <c r="BC82" i="25"/>
  <c r="BC88" i="25"/>
  <c r="BE88" i="25" s="1"/>
  <c r="BC77" i="25"/>
  <c r="BC85" i="25"/>
  <c r="BH85" i="25" s="1"/>
  <c r="BC87" i="25"/>
  <c r="BH87" i="25" s="1"/>
  <c r="BC86" i="25"/>
  <c r="BH86" i="25" s="1"/>
  <c r="BC78" i="25"/>
  <c r="BC76" i="25"/>
  <c r="BE76" i="25" s="1"/>
  <c r="BB92" i="25"/>
  <c r="BC25" i="25"/>
  <c r="BC35" i="25"/>
  <c r="BC36" i="25"/>
  <c r="BC46" i="25"/>
  <c r="BC34" i="25"/>
  <c r="BC39" i="25"/>
  <c r="BH39" i="25" s="1"/>
  <c r="BC33" i="25"/>
  <c r="BC40" i="25"/>
  <c r="BC42" i="25"/>
  <c r="BH42" i="25" s="1"/>
  <c r="BB48" i="25"/>
  <c r="C6" i="5"/>
  <c r="C16" i="5" s="1"/>
  <c r="E9" i="5"/>
  <c r="D14" i="5"/>
  <c r="BE7" i="25"/>
  <c r="B4" i="31" s="1"/>
  <c r="BE63" i="25"/>
  <c r="J35" i="5" s="1"/>
  <c r="BE98" i="25"/>
  <c r="K28" i="5" s="1"/>
  <c r="BE142" i="25"/>
  <c r="M30" i="5" s="1"/>
  <c r="BE146" i="25"/>
  <c r="M34" i="5" s="1"/>
  <c r="BE42" i="25"/>
  <c r="BE121" i="25"/>
  <c r="L30" i="5" s="1"/>
  <c r="BE127" i="25"/>
  <c r="BE64" i="25"/>
  <c r="J36" i="5" s="1"/>
  <c r="BE31" i="25"/>
  <c r="F5" i="31" s="1"/>
  <c r="BG126" i="25"/>
  <c r="T35" i="5" s="1"/>
  <c r="BG98" i="25"/>
  <c r="S28" i="5" s="1"/>
  <c r="BE8" i="25"/>
  <c r="B5" i="31" s="1"/>
  <c r="BF144" i="25"/>
  <c r="Q32" i="5" s="1"/>
  <c r="BG41" i="25"/>
  <c r="BG43" i="25"/>
  <c r="BF100" i="25"/>
  <c r="O30" i="5" s="1"/>
  <c r="BF58" i="25"/>
  <c r="N30" i="5" s="1"/>
  <c r="BF153" i="25"/>
  <c r="Q41" i="5" s="1"/>
  <c r="BF122" i="25"/>
  <c r="P31" i="5" s="1"/>
  <c r="BF109" i="25"/>
  <c r="O39" i="5" s="1"/>
  <c r="BF21" i="25"/>
  <c r="C18" i="31" s="1"/>
  <c r="BG40" i="25"/>
  <c r="BF60" i="25"/>
  <c r="N32" i="5" s="1"/>
  <c r="BF36" i="25"/>
  <c r="BG97" i="25"/>
  <c r="S27" i="5" s="1"/>
  <c r="BF105" i="25"/>
  <c r="O35" i="5" s="1"/>
  <c r="BG102" i="25"/>
  <c r="S32" i="5" s="1"/>
  <c r="BF121" i="25"/>
  <c r="P30" i="5" s="1"/>
  <c r="BF66" i="25"/>
  <c r="N38" i="5" s="1"/>
  <c r="BG60" i="25"/>
  <c r="R32" i="5" s="1"/>
  <c r="BG127" i="25"/>
  <c r="T36" i="5" s="1"/>
  <c r="BG143" i="25"/>
  <c r="U31" i="5" s="1"/>
  <c r="BF152" i="25"/>
  <c r="Q40" i="5" s="1"/>
  <c r="BF142" i="25"/>
  <c r="Q30" i="5" s="1"/>
  <c r="BG35" i="25"/>
  <c r="BF68" i="25"/>
  <c r="N40" i="5" s="1"/>
  <c r="BG118" i="25"/>
  <c r="T27" i="5" s="1"/>
  <c r="BG67" i="25"/>
  <c r="R39" i="5" s="1"/>
  <c r="BF63" i="25"/>
  <c r="N35" i="5" s="1"/>
  <c r="BG144" i="25"/>
  <c r="U32" i="5" s="1"/>
  <c r="BG139" i="25"/>
  <c r="U27" i="5" s="1"/>
  <c r="BG105" i="25"/>
  <c r="S35" i="5" s="1"/>
  <c r="BF37" i="25"/>
  <c r="BG123" i="25"/>
  <c r="T32" i="5" s="1"/>
  <c r="BF123" i="25"/>
  <c r="P32" i="5" s="1"/>
  <c r="BF150" i="25"/>
  <c r="Q38" i="5" s="1"/>
  <c r="BE125" i="25"/>
  <c r="L34" i="5" s="1"/>
  <c r="BF147" i="25"/>
  <c r="Q35" i="5" s="1"/>
  <c r="BF151" i="25"/>
  <c r="Q39" i="5" s="1"/>
  <c r="BF45" i="25"/>
  <c r="BF110" i="25"/>
  <c r="O40" i="5" s="1"/>
  <c r="BG68" i="25"/>
  <c r="R40" i="5" s="1"/>
  <c r="BG124" i="25"/>
  <c r="T33" i="5" s="1"/>
  <c r="BF120" i="25"/>
  <c r="P29" i="5" s="1"/>
  <c r="BG55" i="25"/>
  <c r="R27" i="5" s="1"/>
  <c r="BF22" i="25"/>
  <c r="C19" i="31" s="1"/>
  <c r="BG58" i="25"/>
  <c r="R30" i="5" s="1"/>
  <c r="BG45" i="25"/>
  <c r="BG9" i="25"/>
  <c r="D6" i="31" s="1"/>
  <c r="BG31" i="25"/>
  <c r="H5" i="31" s="1"/>
  <c r="BF31" i="25"/>
  <c r="G5" i="31" s="1"/>
  <c r="BF103" i="25"/>
  <c r="O33" i="5" s="1"/>
  <c r="BF15" i="25"/>
  <c r="C12" i="31" s="1"/>
  <c r="BF124" i="25"/>
  <c r="P33" i="5" s="1"/>
  <c r="BG104" i="25"/>
  <c r="S34" i="5" s="1"/>
  <c r="BG36" i="25"/>
  <c r="BG46" i="25"/>
  <c r="BG20" i="25"/>
  <c r="D17" i="31" s="1"/>
  <c r="BF64" i="25"/>
  <c r="N36" i="5" s="1"/>
  <c r="BF20" i="25"/>
  <c r="C17" i="31" s="1"/>
  <c r="BG15" i="25"/>
  <c r="D12" i="31" s="1"/>
  <c r="BG59" i="25"/>
  <c r="BG122" i="25"/>
  <c r="T31" i="5" s="1"/>
  <c r="BF132" i="25"/>
  <c r="P41" i="5" s="1"/>
  <c r="BF38" i="25"/>
  <c r="BG13" i="25"/>
  <c r="D10" i="31" s="1"/>
  <c r="BG101" i="25"/>
  <c r="S31" i="5" s="1"/>
  <c r="BG64" i="25"/>
  <c r="R36" i="5" s="1"/>
  <c r="BG129" i="25"/>
  <c r="T38" i="5" s="1"/>
  <c r="BG131" i="25"/>
  <c r="T40" i="5" s="1"/>
  <c r="BF98" i="25"/>
  <c r="O28" i="5" s="1"/>
  <c r="BG61" i="25"/>
  <c r="R33" i="5" s="1"/>
  <c r="BG152" i="25"/>
  <c r="U40" i="5" s="1"/>
  <c r="BF59" i="25"/>
  <c r="BG148" i="25"/>
  <c r="U36" i="5" s="1"/>
  <c r="BF34" i="25"/>
  <c r="BG10" i="25"/>
  <c r="D7" i="31" s="1"/>
  <c r="BH8" i="25"/>
  <c r="E5" i="31" s="1"/>
  <c r="BF101" i="25"/>
  <c r="O31" i="5" s="1"/>
  <c r="BF106" i="25"/>
  <c r="O36" i="5" s="1"/>
  <c r="BF146" i="25"/>
  <c r="Q34" i="5" s="1"/>
  <c r="BG62" i="25"/>
  <c r="R34" i="5" s="1"/>
  <c r="BF139" i="25"/>
  <c r="Q27" i="5" s="1"/>
  <c r="BG106" i="25"/>
  <c r="S36" i="5" s="1"/>
  <c r="BF143" i="25"/>
  <c r="Q31" i="5" s="1"/>
  <c r="BG142" i="25"/>
  <c r="U30" i="5" s="1"/>
  <c r="BG18" i="25"/>
  <c r="D15" i="31" s="1"/>
  <c r="BF30" i="25"/>
  <c r="G4" i="31" s="1"/>
  <c r="BG103" i="25"/>
  <c r="S33" i="5" s="1"/>
  <c r="BF108" i="25"/>
  <c r="O38" i="5" s="1"/>
  <c r="BG119" i="25"/>
  <c r="T28" i="5" s="1"/>
  <c r="BF102" i="25"/>
  <c r="O32" i="5" s="1"/>
  <c r="BF107" i="25"/>
  <c r="O37" i="5" s="1"/>
  <c r="BG130" i="25"/>
  <c r="T39" i="5" s="1"/>
  <c r="BG108" i="25"/>
  <c r="S38" i="5" s="1"/>
  <c r="BF128" i="25"/>
  <c r="P37" i="5" s="1"/>
  <c r="BF148" i="25"/>
  <c r="Q36" i="5" s="1"/>
  <c r="BG151" i="25"/>
  <c r="U39" i="5" s="1"/>
  <c r="BF61" i="25"/>
  <c r="N33" i="5" s="1"/>
  <c r="BG147" i="25"/>
  <c r="U35" i="5" s="1"/>
  <c r="BF8" i="25"/>
  <c r="C5" i="31" s="1"/>
  <c r="BF104" i="25"/>
  <c r="O34" i="5" s="1"/>
  <c r="BF43" i="25"/>
  <c r="BF7" i="25"/>
  <c r="C4" i="31" s="1"/>
  <c r="BF56" i="25"/>
  <c r="N28" i="5" s="1"/>
  <c r="BH31" i="25"/>
  <c r="I5" i="31" s="1"/>
  <c r="BF127" i="25"/>
  <c r="P36" i="5" s="1"/>
  <c r="BF126" i="25"/>
  <c r="P35" i="5" s="1"/>
  <c r="BG19" i="25"/>
  <c r="D16" i="31" s="1"/>
  <c r="BF10" i="25"/>
  <c r="C7" i="31" s="1"/>
  <c r="BG32" i="25"/>
  <c r="BF42" i="25"/>
  <c r="BG33" i="25"/>
  <c r="BG56" i="25"/>
  <c r="R28" i="5" s="1"/>
  <c r="BF18" i="25"/>
  <c r="C15" i="31" s="1"/>
  <c r="BF39" i="25"/>
  <c r="BF13" i="25"/>
  <c r="C10" i="31" s="1"/>
  <c r="BF65" i="25"/>
  <c r="N37" i="5" s="1"/>
  <c r="BF41" i="25"/>
  <c r="BG37" i="25"/>
  <c r="BG150" i="25"/>
  <c r="U38" i="5" s="1"/>
  <c r="BG44" i="25"/>
  <c r="BG145" i="25"/>
  <c r="U33" i="5" s="1"/>
  <c r="BF19" i="25"/>
  <c r="C16" i="31" s="1"/>
  <c r="BF62" i="25"/>
  <c r="N34" i="5" s="1"/>
  <c r="BG8" i="25"/>
  <c r="D5" i="31" s="1"/>
  <c r="BG110" i="25"/>
  <c r="S40" i="5" s="1"/>
  <c r="BG107" i="25"/>
  <c r="S37" i="5" s="1"/>
  <c r="BG42" i="25"/>
  <c r="BF118" i="25"/>
  <c r="P27" i="5" s="1"/>
  <c r="BG120" i="25"/>
  <c r="T29" i="5" s="1"/>
  <c r="BF67" i="25"/>
  <c r="N39" i="5" s="1"/>
  <c r="BG128" i="25"/>
  <c r="T37" i="5" s="1"/>
  <c r="BF9" i="25"/>
  <c r="C6" i="31" s="1"/>
  <c r="BG66" i="25"/>
  <c r="R38" i="5" s="1"/>
  <c r="BF149" i="25"/>
  <c r="Q37" i="5" s="1"/>
  <c r="BG14" i="25"/>
  <c r="D11" i="31" s="1"/>
  <c r="BG7" i="25"/>
  <c r="D4" i="31" s="1"/>
  <c r="BF131" i="25"/>
  <c r="P40" i="5" s="1"/>
  <c r="BG21" i="25"/>
  <c r="D18" i="31" s="1"/>
  <c r="BF129" i="25"/>
  <c r="P38" i="5" s="1"/>
  <c r="BG125" i="25"/>
  <c r="T34" i="5" s="1"/>
  <c r="BG141" i="25"/>
  <c r="U29" i="5" s="1"/>
  <c r="BG22" i="25"/>
  <c r="D19" i="31" s="1"/>
  <c r="BG132" i="25"/>
  <c r="T41" i="5" s="1"/>
  <c r="BF40" i="25"/>
  <c r="BF97" i="25"/>
  <c r="O27" i="5" s="1"/>
  <c r="BG121" i="25"/>
  <c r="T30" i="5" s="1"/>
  <c r="BG38" i="25"/>
  <c r="BF32" i="25"/>
  <c r="BF125" i="25"/>
  <c r="P34" i="5" s="1"/>
  <c r="BF44" i="25"/>
  <c r="BF130" i="25"/>
  <c r="P39" i="5" s="1"/>
  <c r="BF141" i="25"/>
  <c r="Q29" i="5" s="1"/>
  <c r="BG149" i="25"/>
  <c r="U37" i="5" s="1"/>
  <c r="BG34" i="25"/>
  <c r="BG153" i="25"/>
  <c r="U41" i="5" s="1"/>
  <c r="BG63" i="25"/>
  <c r="R35" i="5" s="1"/>
  <c r="BF35" i="25"/>
  <c r="BG65" i="25"/>
  <c r="R37" i="5" s="1"/>
  <c r="BF55" i="25"/>
  <c r="N27" i="5" s="1"/>
  <c r="BG100" i="25"/>
  <c r="S30" i="5" s="1"/>
  <c r="BF145" i="25"/>
  <c r="Q33" i="5" s="1"/>
  <c r="BF14" i="25"/>
  <c r="C11" i="31" s="1"/>
  <c r="BG30" i="25"/>
  <c r="H4" i="31" s="1"/>
  <c r="BG39" i="25"/>
  <c r="BF33" i="25"/>
  <c r="BF46" i="25"/>
  <c r="BF119" i="25"/>
  <c r="P28" i="5" s="1"/>
  <c r="BG146" i="25"/>
  <c r="U34" i="5" s="1"/>
  <c r="BG109" i="25"/>
  <c r="S39" i="5" s="1"/>
  <c r="BE141" i="25"/>
  <c r="M29" i="5" s="1"/>
  <c r="BB134" i="25"/>
  <c r="BC110" i="25"/>
  <c r="BE110" i="25" s="1"/>
  <c r="K40" i="5" s="1"/>
  <c r="BE46" i="25"/>
  <c r="BC148" i="25"/>
  <c r="BE148" i="25" s="1"/>
  <c r="M36" i="5" s="1"/>
  <c r="BC10" i="25"/>
  <c r="BE10" i="25" s="1"/>
  <c r="B7" i="31" s="1"/>
  <c r="BC118" i="25"/>
  <c r="BE118" i="25" s="1"/>
  <c r="L27" i="5" s="1"/>
  <c r="BE44" i="25"/>
  <c r="BC105" i="25"/>
  <c r="BE105" i="25" s="1"/>
  <c r="K35" i="5" s="1"/>
  <c r="BC149" i="25"/>
  <c r="BE149" i="25" s="1"/>
  <c r="M37" i="5" s="1"/>
  <c r="BC67" i="25"/>
  <c r="BE67" i="25" s="1"/>
  <c r="J39" i="5" s="1"/>
  <c r="BC120" i="25"/>
  <c r="BE120" i="25" s="1"/>
  <c r="L29" i="5" s="1"/>
  <c r="BC66" i="25"/>
  <c r="BE66" i="25" s="1"/>
  <c r="J38" i="5" s="1"/>
  <c r="BC106" i="25"/>
  <c r="BE106" i="25" s="1"/>
  <c r="K36" i="5" s="1"/>
  <c r="K45" i="5" s="1"/>
  <c r="BC15" i="25"/>
  <c r="BE15" i="25" s="1"/>
  <c r="B12" i="31" s="1"/>
  <c r="BC147" i="25"/>
  <c r="BE147" i="25" s="1"/>
  <c r="M35" i="5" s="1"/>
  <c r="BC124" i="25"/>
  <c r="BE124" i="25" s="1"/>
  <c r="L33" i="5" s="1"/>
  <c r="BH34" i="25"/>
  <c r="BC144" i="25"/>
  <c r="BE144" i="25" s="1"/>
  <c r="M32" i="5" s="1"/>
  <c r="BE45" i="25"/>
  <c r="BC150" i="25"/>
  <c r="BE150" i="25" s="1"/>
  <c r="M38" i="5" s="1"/>
  <c r="BC141" i="25"/>
  <c r="BH141" i="25" s="1"/>
  <c r="Y29" i="5" s="1"/>
  <c r="BC108" i="25"/>
  <c r="BE108" i="25" s="1"/>
  <c r="K38" i="5" s="1"/>
  <c r="BC64" i="25"/>
  <c r="BH64" i="25" s="1"/>
  <c r="V36" i="5" s="1"/>
  <c r="BC126" i="25"/>
  <c r="BE126" i="25" s="1"/>
  <c r="L35" i="5" s="1"/>
  <c r="BC97" i="25"/>
  <c r="BE97" i="25" s="1"/>
  <c r="K27" i="5" s="1"/>
  <c r="BC146" i="25"/>
  <c r="BH146" i="25" s="1"/>
  <c r="Y34" i="5" s="1"/>
  <c r="BC107" i="25"/>
  <c r="BE107" i="25" s="1"/>
  <c r="K37" i="5" s="1"/>
  <c r="BC63" i="25"/>
  <c r="BH63" i="25" s="1"/>
  <c r="V35" i="5" s="1"/>
  <c r="BE38" i="25"/>
  <c r="BC58" i="25"/>
  <c r="BE58" i="25" s="1"/>
  <c r="J30" i="5" s="1"/>
  <c r="BC61" i="25"/>
  <c r="BE61" i="25" s="1"/>
  <c r="J33" i="5" s="1"/>
  <c r="BC21" i="25"/>
  <c r="BE21" i="25" s="1"/>
  <c r="B18" i="31" s="1"/>
  <c r="BE43" i="25"/>
  <c r="BC19" i="25"/>
  <c r="BE19" i="25" s="1"/>
  <c r="B16" i="31" s="1"/>
  <c r="BC129" i="25"/>
  <c r="BE129" i="25" s="1"/>
  <c r="L38" i="5" s="1"/>
  <c r="BC102" i="25"/>
  <c r="BE102" i="25" s="1"/>
  <c r="K32" i="5" s="1"/>
  <c r="BC123" i="25"/>
  <c r="BE123" i="25" s="1"/>
  <c r="L32" i="5" s="1"/>
  <c r="BE37" i="25"/>
  <c r="BC131" i="25"/>
  <c r="BE131" i="25" s="1"/>
  <c r="L40" i="5" s="1"/>
  <c r="BC128" i="25"/>
  <c r="BE128" i="25" s="1"/>
  <c r="L37" i="5" s="1"/>
  <c r="BC104" i="25"/>
  <c r="BE104" i="25" s="1"/>
  <c r="K34" i="5" s="1"/>
  <c r="BC60" i="25"/>
  <c r="BE60" i="25" s="1"/>
  <c r="J32" i="5" s="1"/>
  <c r="BE36" i="25"/>
  <c r="BC13" i="25"/>
  <c r="BE13" i="25" s="1"/>
  <c r="B10" i="31" s="1"/>
  <c r="BC130" i="25"/>
  <c r="BE130" i="25" s="1"/>
  <c r="L39" i="5" s="1"/>
  <c r="BE33" i="25"/>
  <c r="BC127" i="25"/>
  <c r="BH127" i="25" s="1"/>
  <c r="X36" i="5" s="1"/>
  <c r="BC125" i="25"/>
  <c r="BH125" i="25" s="1"/>
  <c r="X34" i="5" s="1"/>
  <c r="BC103" i="25"/>
  <c r="BE103" i="25" s="1"/>
  <c r="K33" i="5" s="1"/>
  <c r="BC59" i="25"/>
  <c r="BE59" i="25" s="1"/>
  <c r="BE35" i="25"/>
  <c r="BC132" i="25"/>
  <c r="BE132" i="25" s="1"/>
  <c r="L41" i="5" s="1"/>
  <c r="BC151" i="25"/>
  <c r="BE151" i="25" s="1"/>
  <c r="M39" i="5" s="1"/>
  <c r="BC101" i="25"/>
  <c r="BE101" i="25" s="1"/>
  <c r="K31" i="5" s="1"/>
  <c r="BC152" i="25"/>
  <c r="BE152" i="25" s="1"/>
  <c r="M40" i="5" s="1"/>
  <c r="BC68" i="25"/>
  <c r="BE68" i="25" s="1"/>
  <c r="J40" i="5" s="1"/>
  <c r="BC139" i="25"/>
  <c r="BE139" i="25" s="1"/>
  <c r="M27" i="5" s="1"/>
  <c r="BC14" i="25"/>
  <c r="BE14" i="25" s="1"/>
  <c r="B11" i="31" s="1"/>
  <c r="BC20" i="25"/>
  <c r="BE20" i="25" s="1"/>
  <c r="B17" i="31" s="1"/>
  <c r="BC143" i="25"/>
  <c r="BE143" i="25" s="1"/>
  <c r="M31" i="5" s="1"/>
  <c r="BC62" i="25"/>
  <c r="BE62" i="25" s="1"/>
  <c r="J34" i="5" s="1"/>
  <c r="BC98" i="25"/>
  <c r="BH98" i="25" s="1"/>
  <c r="W28" i="5" s="1"/>
  <c r="BC153" i="25"/>
  <c r="BE153" i="25" s="1"/>
  <c r="M41" i="5" s="1"/>
  <c r="BC109" i="25"/>
  <c r="BE109" i="25" s="1"/>
  <c r="K39" i="5" s="1"/>
  <c r="BC65" i="25"/>
  <c r="BE65" i="25" s="1"/>
  <c r="J37" i="5" s="1"/>
  <c r="BC22" i="25"/>
  <c r="BE22" i="25" s="1"/>
  <c r="B19" i="31" s="1"/>
  <c r="BC145" i="25"/>
  <c r="BE145" i="25" s="1"/>
  <c r="M33" i="5" s="1"/>
  <c r="BC122" i="25"/>
  <c r="BE122" i="25" s="1"/>
  <c r="L31" i="5" s="1"/>
  <c r="BC100" i="25"/>
  <c r="BE100" i="25" s="1"/>
  <c r="K30" i="5" s="1"/>
  <c r="BC56" i="25"/>
  <c r="BE56" i="25" s="1"/>
  <c r="J28" i="5" s="1"/>
  <c r="BE32" i="25"/>
  <c r="BC9" i="25"/>
  <c r="BE9" i="25" s="1"/>
  <c r="B6" i="31" s="1"/>
  <c r="BC119" i="25"/>
  <c r="BE119" i="25" s="1"/>
  <c r="L28" i="5" s="1"/>
  <c r="BC18" i="25"/>
  <c r="BE18" i="25" s="1"/>
  <c r="B15" i="31" s="1"/>
  <c r="BC142" i="25"/>
  <c r="BH142" i="25" s="1"/>
  <c r="Y30" i="5" s="1"/>
  <c r="BC121" i="25"/>
  <c r="BH121" i="25" s="1"/>
  <c r="X30" i="5" s="1"/>
  <c r="BC55" i="25"/>
  <c r="BE55" i="25" s="1"/>
  <c r="J27" i="5" s="1"/>
  <c r="BC30" i="25"/>
  <c r="L36" i="5" l="1"/>
  <c r="L45" i="5" s="1"/>
  <c r="M5" i="31"/>
  <c r="H18" i="31"/>
  <c r="L18" i="31" s="1"/>
  <c r="K5" i="31"/>
  <c r="L4" i="31"/>
  <c r="G9" i="31"/>
  <c r="F9" i="31"/>
  <c r="F11" i="31"/>
  <c r="J11" i="31" s="1"/>
  <c r="F19" i="31"/>
  <c r="J19" i="31" s="1"/>
  <c r="F18" i="31"/>
  <c r="J18" i="31" s="1"/>
  <c r="G18" i="31"/>
  <c r="K18" i="31" s="1"/>
  <c r="H16" i="31"/>
  <c r="L16" i="31" s="1"/>
  <c r="L5" i="31"/>
  <c r="J5" i="31"/>
  <c r="F16" i="31"/>
  <c r="J16" i="31" s="1"/>
  <c r="F17" i="31"/>
  <c r="J17" i="31" s="1"/>
  <c r="G16" i="31"/>
  <c r="K16" i="31" s="1"/>
  <c r="C23" i="31"/>
  <c r="H9" i="31"/>
  <c r="B23" i="31"/>
  <c r="F6" i="31"/>
  <c r="J6" i="31" s="1"/>
  <c r="G6" i="31"/>
  <c r="K6" i="31" s="1"/>
  <c r="D23" i="31"/>
  <c r="H6" i="31"/>
  <c r="L6" i="31" s="1"/>
  <c r="G17" i="31"/>
  <c r="K17" i="31" s="1"/>
  <c r="K4" i="31"/>
  <c r="H19" i="31"/>
  <c r="L19" i="31" s="1"/>
  <c r="G19" i="31"/>
  <c r="K19" i="31" s="1"/>
  <c r="H17" i="31"/>
  <c r="L17" i="31" s="1"/>
  <c r="H15" i="31"/>
  <c r="L15" i="31" s="1"/>
  <c r="G15" i="31"/>
  <c r="K15" i="31" s="1"/>
  <c r="G14" i="31"/>
  <c r="H13" i="31"/>
  <c r="G13" i="31"/>
  <c r="J31" i="5"/>
  <c r="N31" i="5"/>
  <c r="G10" i="31"/>
  <c r="K10" i="31" s="1"/>
  <c r="R31" i="5"/>
  <c r="BH7" i="25"/>
  <c r="E4" i="31" s="1"/>
  <c r="E23" i="31" s="1"/>
  <c r="BE84" i="25"/>
  <c r="BG84" i="25"/>
  <c r="H14" i="31" s="1"/>
  <c r="BH83" i="25"/>
  <c r="BH84" i="25"/>
  <c r="BC92" i="25"/>
  <c r="BG78" i="25"/>
  <c r="BE77" i="25"/>
  <c r="BG77" i="25"/>
  <c r="BH77" i="25"/>
  <c r="BE80" i="25"/>
  <c r="F10" i="31" s="1"/>
  <c r="J10" i="31" s="1"/>
  <c r="BG80" i="25"/>
  <c r="H10" i="31" s="1"/>
  <c r="BH88" i="25"/>
  <c r="BH90" i="25"/>
  <c r="BH80" i="25"/>
  <c r="BH79" i="25"/>
  <c r="BH89" i="25"/>
  <c r="BE82" i="25"/>
  <c r="F12" i="31" s="1"/>
  <c r="J12" i="31" s="1"/>
  <c r="BF82" i="25"/>
  <c r="G12" i="31" s="1"/>
  <c r="K12" i="31" s="1"/>
  <c r="BG82" i="25"/>
  <c r="H12" i="31" s="1"/>
  <c r="L12" i="31" s="1"/>
  <c r="BH82" i="25"/>
  <c r="BF81" i="25"/>
  <c r="G11" i="31" s="1"/>
  <c r="K11" i="31" s="1"/>
  <c r="BG81" i="25"/>
  <c r="H11" i="31" s="1"/>
  <c r="L11" i="31" s="1"/>
  <c r="BH76" i="25"/>
  <c r="BH78" i="25"/>
  <c r="L17" i="5"/>
  <c r="L15" i="5"/>
  <c r="J16" i="5"/>
  <c r="K10" i="5"/>
  <c r="L18" i="5"/>
  <c r="K19" i="5"/>
  <c r="J17" i="5"/>
  <c r="J11" i="5"/>
  <c r="J19" i="5"/>
  <c r="L10" i="5"/>
  <c r="P42" i="5"/>
  <c r="P44" i="5" s="1"/>
  <c r="L42" i="5"/>
  <c r="L44" i="5" s="1"/>
  <c r="T42" i="5"/>
  <c r="T44" i="5" s="1"/>
  <c r="BF48" i="25"/>
  <c r="E18" i="5" s="1"/>
  <c r="BG48" i="25"/>
  <c r="F18" i="5" s="1"/>
  <c r="L5" i="5"/>
  <c r="K4" i="5"/>
  <c r="BH40" i="25"/>
  <c r="BC48" i="25"/>
  <c r="K16" i="5"/>
  <c r="BE30" i="25"/>
  <c r="F4" i="31" s="1"/>
  <c r="J4" i="31" s="1"/>
  <c r="K15" i="5"/>
  <c r="L12" i="5"/>
  <c r="J12" i="5"/>
  <c r="L4" i="5"/>
  <c r="K7" i="5"/>
  <c r="K17" i="5"/>
  <c r="J5" i="5"/>
  <c r="J18" i="5"/>
  <c r="J7" i="5"/>
  <c r="L19" i="5"/>
  <c r="L11" i="5"/>
  <c r="K6" i="5"/>
  <c r="L16" i="5"/>
  <c r="M5" i="5"/>
  <c r="K12" i="5"/>
  <c r="L6" i="5"/>
  <c r="K18" i="5"/>
  <c r="J6" i="5"/>
  <c r="J10" i="5"/>
  <c r="K11" i="5"/>
  <c r="K5" i="5"/>
  <c r="L7" i="5"/>
  <c r="BE41" i="25"/>
  <c r="BE4" i="25" s="1"/>
  <c r="F9" i="5"/>
  <c r="E14" i="5"/>
  <c r="BH21" i="25"/>
  <c r="E18" i="31" s="1"/>
  <c r="BE25" i="25"/>
  <c r="D5" i="5" s="1"/>
  <c r="BG25" i="25"/>
  <c r="F5" i="5" s="1"/>
  <c r="BF25" i="25"/>
  <c r="E5" i="5" s="1"/>
  <c r="BH30" i="25"/>
  <c r="I4" i="31" s="1"/>
  <c r="BH108" i="25"/>
  <c r="W38" i="5" s="1"/>
  <c r="BH19" i="25"/>
  <c r="BH102" i="25"/>
  <c r="W32" i="5" s="1"/>
  <c r="BH14" i="25"/>
  <c r="E11" i="31" s="1"/>
  <c r="BH43" i="25"/>
  <c r="BH59" i="25"/>
  <c r="BH152" i="25"/>
  <c r="Y40" i="5" s="1"/>
  <c r="BH10" i="25"/>
  <c r="E7" i="31" s="1"/>
  <c r="BH9" i="25"/>
  <c r="E6" i="31" s="1"/>
  <c r="BH58" i="25"/>
  <c r="V30" i="5" s="1"/>
  <c r="BH44" i="25"/>
  <c r="BH106" i="25"/>
  <c r="W36" i="5" s="1"/>
  <c r="BH41" i="25"/>
  <c r="BH46" i="25"/>
  <c r="BH150" i="25"/>
  <c r="Y38" i="5" s="1"/>
  <c r="BH107" i="25"/>
  <c r="W37" i="5" s="1"/>
  <c r="BH56" i="25"/>
  <c r="V28" i="5" s="1"/>
  <c r="BH128" i="25"/>
  <c r="X37" i="5" s="1"/>
  <c r="BH129" i="25"/>
  <c r="X38" i="5" s="1"/>
  <c r="BH131" i="25"/>
  <c r="X40" i="5" s="1"/>
  <c r="BH149" i="25"/>
  <c r="Y37" i="5" s="1"/>
  <c r="BH33" i="25"/>
  <c r="BH145" i="25"/>
  <c r="Y33" i="5" s="1"/>
  <c r="BH68" i="25"/>
  <c r="V40" i="5" s="1"/>
  <c r="BH100" i="25"/>
  <c r="W30" i="5" s="1"/>
  <c r="BH143" i="25"/>
  <c r="Y31" i="5" s="1"/>
  <c r="BH118" i="25"/>
  <c r="X27" i="5" s="1"/>
  <c r="BH97" i="25"/>
  <c r="W27" i="5" s="1"/>
  <c r="BH122" i="25"/>
  <c r="X31" i="5" s="1"/>
  <c r="BH37" i="25"/>
  <c r="BH148" i="25"/>
  <c r="Y36" i="5" s="1"/>
  <c r="BH60" i="25"/>
  <c r="V32" i="5" s="1"/>
  <c r="BH119" i="25"/>
  <c r="X28" i="5" s="1"/>
  <c r="BH124" i="25"/>
  <c r="X33" i="5" s="1"/>
  <c r="BH65" i="25"/>
  <c r="V37" i="5" s="1"/>
  <c r="BH13" i="25"/>
  <c r="E10" i="31" s="1"/>
  <c r="BH132" i="25"/>
  <c r="X41" i="5" s="1"/>
  <c r="BH139" i="25"/>
  <c r="Y27" i="5" s="1"/>
  <c r="BH104" i="25"/>
  <c r="W34" i="5" s="1"/>
  <c r="BH147" i="25"/>
  <c r="Y35" i="5" s="1"/>
  <c r="BH123" i="25"/>
  <c r="X32" i="5" s="1"/>
  <c r="BH22" i="25"/>
  <c r="E19" i="31" s="1"/>
  <c r="BH55" i="25"/>
  <c r="V27" i="5" s="1"/>
  <c r="BH20" i="25"/>
  <c r="E17" i="31" s="1"/>
  <c r="BH15" i="25"/>
  <c r="E12" i="31" s="1"/>
  <c r="BH130" i="25"/>
  <c r="X39" i="5" s="1"/>
  <c r="BH109" i="25"/>
  <c r="W39" i="5" s="1"/>
  <c r="BH151" i="25"/>
  <c r="Y39" i="5" s="1"/>
  <c r="BH32" i="25"/>
  <c r="BH110" i="25"/>
  <c r="W40" i="5" s="1"/>
  <c r="BH36" i="25"/>
  <c r="BH126" i="25"/>
  <c r="X35" i="5" s="1"/>
  <c r="BH103" i="25"/>
  <c r="W33" i="5" s="1"/>
  <c r="BH45" i="25"/>
  <c r="BH105" i="25"/>
  <c r="W35" i="5" s="1"/>
  <c r="BH62" i="25"/>
  <c r="V34" i="5" s="1"/>
  <c r="BH61" i="25"/>
  <c r="V33" i="5" s="1"/>
  <c r="BH120" i="25"/>
  <c r="X29" i="5" s="1"/>
  <c r="BH35" i="25"/>
  <c r="BH144" i="25"/>
  <c r="Y32" i="5" s="1"/>
  <c r="BH38" i="25"/>
  <c r="BH18" i="25"/>
  <c r="E15" i="31" s="1"/>
  <c r="BH67" i="25"/>
  <c r="V39" i="5" s="1"/>
  <c r="BH66" i="25"/>
  <c r="V38" i="5" s="1"/>
  <c r="BH101" i="25"/>
  <c r="W31" i="5" s="1"/>
  <c r="BH153" i="25"/>
  <c r="Y41" i="5" s="1"/>
  <c r="BC134" i="25"/>
  <c r="F15" i="31" l="1"/>
  <c r="J15" i="31" s="1"/>
  <c r="BE134" i="25"/>
  <c r="BF134" i="25"/>
  <c r="BG134" i="25"/>
  <c r="BH134" i="25"/>
  <c r="BE92" i="25"/>
  <c r="BF92" i="25"/>
  <c r="BG92" i="25"/>
  <c r="BH92" i="25"/>
  <c r="M4" i="31"/>
  <c r="BH25" i="25"/>
  <c r="G5" i="5" s="1"/>
  <c r="I19" i="31"/>
  <c r="M19" i="31" s="1"/>
  <c r="I11" i="31"/>
  <c r="M11" i="31" s="1"/>
  <c r="M16" i="5"/>
  <c r="E16" i="31"/>
  <c r="I9" i="31"/>
  <c r="I15" i="31"/>
  <c r="M15" i="31" s="1"/>
  <c r="I17" i="31"/>
  <c r="M17" i="31" s="1"/>
  <c r="I16" i="31"/>
  <c r="M16" i="31" s="1"/>
  <c r="I12" i="31"/>
  <c r="M12" i="31" s="1"/>
  <c r="I6" i="31"/>
  <c r="M6" i="31" s="1"/>
  <c r="I18" i="31"/>
  <c r="M18" i="31" s="1"/>
  <c r="J15" i="5"/>
  <c r="I14" i="31"/>
  <c r="I13" i="31"/>
  <c r="L10" i="31"/>
  <c r="V31" i="5"/>
  <c r="I10" i="31"/>
  <c r="M10" i="31" s="1"/>
  <c r="X42" i="5"/>
  <c r="X44" i="5" s="1"/>
  <c r="BH48" i="25"/>
  <c r="G18" i="5" s="1"/>
  <c r="M4" i="5"/>
  <c r="J4" i="5"/>
  <c r="M15" i="5"/>
  <c r="M17" i="5"/>
  <c r="M12" i="5"/>
  <c r="M19" i="5"/>
  <c r="M10" i="5"/>
  <c r="M6" i="5"/>
  <c r="M7" i="5"/>
  <c r="M11" i="5"/>
  <c r="M18" i="5"/>
  <c r="G9" i="5"/>
  <c r="G14" i="5" s="1"/>
  <c r="F14" i="5"/>
  <c r="C25" i="8" l="1"/>
  <c r="K10" i="7"/>
  <c r="C18" i="4"/>
  <c r="C31" i="1"/>
  <c r="F140" i="25"/>
  <c r="F155" i="25" s="1"/>
  <c r="H140" i="25" l="1"/>
  <c r="H155" i="25" s="1"/>
  <c r="I140" i="25"/>
  <c r="I155" i="25" s="1"/>
  <c r="J140" i="25"/>
  <c r="J155" i="25" s="1"/>
  <c r="K140" i="25"/>
  <c r="K155" i="25" s="1"/>
  <c r="L140" i="25"/>
  <c r="L155" i="25" s="1"/>
  <c r="M140" i="25"/>
  <c r="M155" i="25" s="1"/>
  <c r="N140" i="25"/>
  <c r="N155" i="25" s="1"/>
  <c r="O140" i="25"/>
  <c r="O155" i="25" s="1"/>
  <c r="P140" i="25"/>
  <c r="P155" i="25" s="1"/>
  <c r="Q140" i="25"/>
  <c r="Q155" i="25" s="1"/>
  <c r="R140" i="25"/>
  <c r="R155" i="25" s="1"/>
  <c r="S140" i="25"/>
  <c r="S155" i="25" s="1"/>
  <c r="T140" i="25"/>
  <c r="U140" i="25"/>
  <c r="U155" i="25" s="1"/>
  <c r="V140" i="25"/>
  <c r="V155" i="25" s="1"/>
  <c r="W140" i="25"/>
  <c r="W155" i="25" s="1"/>
  <c r="X140" i="25"/>
  <c r="X155" i="25" s="1"/>
  <c r="Y140" i="25"/>
  <c r="Y155" i="25" s="1"/>
  <c r="Z140" i="25"/>
  <c r="Z155" i="25" s="1"/>
  <c r="AA140" i="25"/>
  <c r="AA155" i="25" s="1"/>
  <c r="AB140" i="25"/>
  <c r="AB155" i="25" s="1"/>
  <c r="AC140" i="25"/>
  <c r="AC155" i="25" s="1"/>
  <c r="AD140" i="25"/>
  <c r="AD155" i="25" s="1"/>
  <c r="AE140" i="25"/>
  <c r="AE155" i="25" s="1"/>
  <c r="AF140" i="25"/>
  <c r="AG140" i="25"/>
  <c r="AG155" i="25" s="1"/>
  <c r="AH140" i="25"/>
  <c r="AH155" i="25" s="1"/>
  <c r="AI140" i="25"/>
  <c r="AI155" i="25" s="1"/>
  <c r="AJ140" i="25"/>
  <c r="AJ155" i="25" s="1"/>
  <c r="AK140" i="25"/>
  <c r="AK155" i="25" s="1"/>
  <c r="AL140" i="25"/>
  <c r="AL155" i="25" s="1"/>
  <c r="AM140" i="25"/>
  <c r="AM155" i="25" s="1"/>
  <c r="AN140" i="25"/>
  <c r="AN155" i="25" s="1"/>
  <c r="AO140" i="25"/>
  <c r="AO155" i="25" s="1"/>
  <c r="AP140" i="25"/>
  <c r="AP155" i="25" s="1"/>
  <c r="AR140" i="25"/>
  <c r="AQ140" i="25"/>
  <c r="AQ155" i="25" s="1"/>
  <c r="AS140" i="25"/>
  <c r="AS155" i="25" s="1"/>
  <c r="AT140" i="25"/>
  <c r="AT155" i="25" s="1"/>
  <c r="AU140" i="25"/>
  <c r="AU155" i="25" s="1"/>
  <c r="AV140" i="25"/>
  <c r="AV155" i="25" s="1"/>
  <c r="AW140" i="25"/>
  <c r="AW155" i="25" s="1"/>
  <c r="AX140" i="25"/>
  <c r="AX155" i="25" s="1"/>
  <c r="AY140" i="25"/>
  <c r="AY155" i="25" s="1"/>
  <c r="AZ140" i="25"/>
  <c r="AZ155" i="25" s="1"/>
  <c r="BA140" i="25"/>
  <c r="BA155" i="25" s="1"/>
  <c r="BB140" i="25"/>
  <c r="BB155" i="25" s="1"/>
  <c r="BC140" i="25"/>
  <c r="G39" i="25"/>
  <c r="G40" i="25"/>
  <c r="G34" i="25"/>
  <c r="BE155" i="25" l="1"/>
  <c r="M40" i="25"/>
  <c r="N40" i="25"/>
  <c r="O40" i="25"/>
  <c r="P40" i="25"/>
  <c r="Q40" i="25"/>
  <c r="R40" i="25"/>
  <c r="S40" i="25"/>
  <c r="M39" i="25"/>
  <c r="N39" i="25"/>
  <c r="O39" i="25"/>
  <c r="P39" i="25"/>
  <c r="Q39" i="25"/>
  <c r="R39" i="25"/>
  <c r="S39" i="25"/>
  <c r="H39" i="25"/>
  <c r="I39" i="25"/>
  <c r="J39" i="25"/>
  <c r="K39" i="25"/>
  <c r="L39" i="25"/>
  <c r="H40" i="25"/>
  <c r="I40" i="25"/>
  <c r="J40" i="25"/>
  <c r="K40" i="25"/>
  <c r="L40" i="25"/>
  <c r="H34" i="25"/>
  <c r="I34" i="25"/>
  <c r="J34" i="25"/>
  <c r="K34" i="25"/>
  <c r="L34" i="25"/>
  <c r="M34" i="25"/>
  <c r="N34" i="25"/>
  <c r="N48" i="25" s="1"/>
  <c r="O34" i="25"/>
  <c r="P34" i="25"/>
  <c r="Q34" i="25"/>
  <c r="R34" i="25"/>
  <c r="S34" i="25"/>
  <c r="BE140" i="25"/>
  <c r="BC155" i="25"/>
  <c r="AR155" i="25"/>
  <c r="BH140" i="25"/>
  <c r="AF155" i="25"/>
  <c r="BG155" i="25" s="1"/>
  <c r="BG140" i="25"/>
  <c r="T155" i="25"/>
  <c r="BF155" i="25" s="1"/>
  <c r="BF140" i="25"/>
  <c r="BH155" i="25" l="1"/>
  <c r="Q28" i="5"/>
  <c r="Q42" i="5" s="1"/>
  <c r="Q44" i="5" s="1"/>
  <c r="G7" i="31"/>
  <c r="U28" i="5"/>
  <c r="U42" i="5" s="1"/>
  <c r="U44" i="5" s="1"/>
  <c r="H7" i="31"/>
  <c r="Y28" i="5"/>
  <c r="Y42" i="5" s="1"/>
  <c r="Y44" i="5" s="1"/>
  <c r="I7" i="31"/>
  <c r="M28" i="5"/>
  <c r="M42" i="5" s="1"/>
  <c r="M44" i="5" s="1"/>
  <c r="F7" i="31"/>
  <c r="J7" i="31" s="1"/>
  <c r="S48" i="25"/>
  <c r="O48" i="25"/>
  <c r="R48" i="25"/>
  <c r="Q48" i="25"/>
  <c r="M48" i="25"/>
  <c r="P48" i="25"/>
  <c r="I48" i="25"/>
  <c r="H48" i="25"/>
  <c r="J48" i="25"/>
  <c r="K48" i="25"/>
  <c r="BE40" i="25"/>
  <c r="L48" i="25"/>
  <c r="BE39" i="25"/>
  <c r="F13" i="31" s="1"/>
  <c r="BE34" i="25"/>
  <c r="C20" i="5"/>
  <c r="C25" i="5" s="1"/>
  <c r="C31" i="5" s="1"/>
  <c r="M7" i="31" l="1"/>
  <c r="K7" i="31"/>
  <c r="L7" i="31"/>
  <c r="F14" i="31"/>
  <c r="BE48" i="25"/>
  <c r="D18" i="5" s="1"/>
  <c r="E19" i="1"/>
  <c r="I21" i="1"/>
  <c r="G17" i="1" l="1"/>
  <c r="G45" i="1" s="1"/>
  <c r="G19" i="1"/>
  <c r="K21" i="1" s="1"/>
  <c r="G15" i="1"/>
  <c r="K15" i="1" l="1"/>
  <c r="C46" i="1" s="1"/>
  <c r="K14" i="1"/>
  <c r="C45" i="1" s="1"/>
  <c r="C49" i="1" s="1"/>
  <c r="K19" i="1"/>
  <c r="K20" i="1"/>
  <c r="C38" i="1" l="1"/>
  <c r="C39" i="1" s="1"/>
  <c r="F57" i="25"/>
  <c r="AR57" i="25" l="1"/>
  <c r="AS57" i="25"/>
  <c r="AT57" i="25"/>
  <c r="AU57" i="25"/>
  <c r="AV57" i="25"/>
  <c r="AW57" i="25"/>
  <c r="AX57" i="25"/>
  <c r="AY57" i="25"/>
  <c r="AZ57" i="25"/>
  <c r="BA57" i="25"/>
  <c r="BB57" i="25"/>
  <c r="BC57" i="25"/>
  <c r="H57" i="25"/>
  <c r="I57" i="25"/>
  <c r="J57" i="25"/>
  <c r="K57" i="25"/>
  <c r="L57" i="25"/>
  <c r="M57" i="25"/>
  <c r="N57" i="25"/>
  <c r="O57" i="25"/>
  <c r="P57" i="25"/>
  <c r="Q57" i="25"/>
  <c r="R57" i="25"/>
  <c r="S57" i="25"/>
  <c r="T57" i="25"/>
  <c r="U57" i="25"/>
  <c r="V57" i="25"/>
  <c r="W57" i="25"/>
  <c r="X57" i="25"/>
  <c r="Y57" i="25"/>
  <c r="Z57" i="25"/>
  <c r="AA57" i="25"/>
  <c r="AB57" i="25"/>
  <c r="AC57" i="25"/>
  <c r="AD57" i="25"/>
  <c r="AE57" i="25"/>
  <c r="AF57" i="25"/>
  <c r="AG57" i="25"/>
  <c r="AH57" i="25"/>
  <c r="AI57" i="25"/>
  <c r="AJ57" i="25"/>
  <c r="AK57" i="25"/>
  <c r="AL57" i="25"/>
  <c r="AM57" i="25"/>
  <c r="AN57" i="25"/>
  <c r="AO57" i="25"/>
  <c r="AP57" i="25"/>
  <c r="AQ57" i="25"/>
  <c r="BG57" i="25" l="1"/>
  <c r="BF57" i="25"/>
  <c r="BE57" i="25"/>
  <c r="BH57" i="25"/>
  <c r="J29" i="5" l="1"/>
  <c r="V29" i="5"/>
  <c r="R29" i="5"/>
  <c r="N29" i="5"/>
  <c r="G49" i="1" l="1"/>
  <c r="F99" i="25" s="1"/>
  <c r="AR99" i="25" l="1"/>
  <c r="AS99" i="25"/>
  <c r="AT99" i="25"/>
  <c r="AU99" i="25"/>
  <c r="AV99" i="25"/>
  <c r="AW99" i="25"/>
  <c r="AX99" i="25"/>
  <c r="AY99" i="25"/>
  <c r="AZ99" i="25"/>
  <c r="BA99" i="25"/>
  <c r="BB99" i="25"/>
  <c r="BC99" i="25"/>
  <c r="Z99" i="25"/>
  <c r="AM99" i="25"/>
  <c r="AN99" i="25"/>
  <c r="AC99" i="25"/>
  <c r="V99" i="25"/>
  <c r="AA99" i="25"/>
  <c r="AH99" i="25"/>
  <c r="W99" i="25"/>
  <c r="Y99" i="25"/>
  <c r="AG99" i="25"/>
  <c r="AB99" i="25"/>
  <c r="R99" i="25"/>
  <c r="P99" i="25"/>
  <c r="AP99" i="25"/>
  <c r="AK99" i="25"/>
  <c r="I99" i="25"/>
  <c r="AD99" i="25"/>
  <c r="O99" i="25"/>
  <c r="AI99" i="25"/>
  <c r="AL99" i="25"/>
  <c r="T99" i="25"/>
  <c r="AE99" i="25"/>
  <c r="L99" i="25"/>
  <c r="AF99" i="25"/>
  <c r="AQ99" i="25"/>
  <c r="K99" i="25"/>
  <c r="U99" i="25"/>
  <c r="AJ99" i="25"/>
  <c r="AO99" i="25"/>
  <c r="M99" i="25"/>
  <c r="J99" i="25"/>
  <c r="Q99" i="25"/>
  <c r="N99" i="25"/>
  <c r="S99" i="25"/>
  <c r="X99" i="25"/>
  <c r="H99" i="25"/>
  <c r="BE99" i="25" l="1"/>
  <c r="BG99" i="25"/>
  <c r="BF99" i="25"/>
  <c r="BH99" i="25"/>
  <c r="S29" i="5" l="1"/>
  <c r="H8" i="31"/>
  <c r="O29" i="5"/>
  <c r="G8" i="31"/>
  <c r="W29" i="5"/>
  <c r="I8" i="31"/>
  <c r="K29" i="5"/>
  <c r="F8" i="31"/>
  <c r="F11" i="25" l="1"/>
  <c r="H15" i="7"/>
  <c r="F17" i="25" s="1"/>
  <c r="F7" i="8"/>
  <c r="F16" i="25" s="1"/>
  <c r="F49" i="30"/>
  <c r="F54" i="30" s="1"/>
  <c r="AV23" i="25" l="1"/>
  <c r="AY23" i="25"/>
  <c r="BC23" i="25"/>
  <c r="AW23" i="25"/>
  <c r="AX23" i="25"/>
  <c r="AR23" i="25"/>
  <c r="AU23" i="25"/>
  <c r="AZ23" i="25"/>
  <c r="AS23" i="25"/>
  <c r="BA23" i="25"/>
  <c r="AT23" i="25"/>
  <c r="BB23" i="25"/>
  <c r="F12" i="25"/>
  <c r="AZ11" i="25"/>
  <c r="T11" i="25"/>
  <c r="AI11" i="25"/>
  <c r="AG11" i="25"/>
  <c r="AM11" i="25"/>
  <c r="AY11" i="25"/>
  <c r="H11" i="25"/>
  <c r="AQ11" i="25"/>
  <c r="AL11" i="25"/>
  <c r="AH11" i="25"/>
  <c r="Q11" i="25"/>
  <c r="AE11" i="25"/>
  <c r="AB11" i="25"/>
  <c r="N11" i="25"/>
  <c r="W11" i="25"/>
  <c r="AK11" i="25"/>
  <c r="AF11" i="25"/>
  <c r="R11" i="25"/>
  <c r="X11" i="25"/>
  <c r="AV11" i="25"/>
  <c r="AN11" i="25"/>
  <c r="BB11" i="25"/>
  <c r="AJ11" i="25"/>
  <c r="I11" i="25"/>
  <c r="P11" i="25"/>
  <c r="J11" i="25"/>
  <c r="BC11" i="25"/>
  <c r="AO11" i="25"/>
  <c r="AS11" i="25"/>
  <c r="K11" i="25"/>
  <c r="AC11" i="25"/>
  <c r="S11" i="25"/>
  <c r="BA11" i="25"/>
  <c r="U11" i="25"/>
  <c r="Z11" i="25"/>
  <c r="AX11" i="25"/>
  <c r="AW11" i="25"/>
  <c r="L11" i="25"/>
  <c r="AD11" i="25"/>
  <c r="AP11" i="25"/>
  <c r="AU11" i="25"/>
  <c r="AT11" i="25"/>
  <c r="AR11" i="25"/>
  <c r="AA11" i="25"/>
  <c r="Y11" i="25"/>
  <c r="V11" i="25"/>
  <c r="O11" i="25"/>
  <c r="M11" i="25"/>
  <c r="T17" i="25"/>
  <c r="AQ17" i="25"/>
  <c r="AB17" i="25"/>
  <c r="R17" i="25"/>
  <c r="AH17" i="25"/>
  <c r="S17" i="25"/>
  <c r="P17" i="25"/>
  <c r="AD17" i="25"/>
  <c r="M17" i="25"/>
  <c r="AY17" i="25"/>
  <c r="V17" i="25"/>
  <c r="O17" i="25"/>
  <c r="AR17" i="25"/>
  <c r="K17" i="25"/>
  <c r="AM17" i="25"/>
  <c r="X17" i="25"/>
  <c r="AV17" i="25"/>
  <c r="Y17" i="25"/>
  <c r="AS17" i="25"/>
  <c r="Q17" i="25"/>
  <c r="AT17" i="25"/>
  <c r="AK17" i="25"/>
  <c r="BC17" i="25"/>
  <c r="AO17" i="25"/>
  <c r="I17" i="25"/>
  <c r="L17" i="25"/>
  <c r="AJ17" i="25"/>
  <c r="J17" i="25"/>
  <c r="AZ17" i="25"/>
  <c r="BB17" i="25"/>
  <c r="AW17" i="25"/>
  <c r="W17" i="25"/>
  <c r="BA17" i="25"/>
  <c r="H17" i="25"/>
  <c r="AF17" i="25"/>
  <c r="Z17" i="25"/>
  <c r="U17" i="25"/>
  <c r="AI17" i="25"/>
  <c r="AL17" i="25"/>
  <c r="AA17" i="25"/>
  <c r="AG17" i="25"/>
  <c r="AC17" i="25"/>
  <c r="AX17" i="25"/>
  <c r="AE17" i="25"/>
  <c r="AN17" i="25"/>
  <c r="N17" i="25"/>
  <c r="AP17" i="25"/>
  <c r="AU17" i="25"/>
  <c r="AF16" i="25"/>
  <c r="U16" i="25"/>
  <c r="AG16" i="25"/>
  <c r="L16" i="25"/>
  <c r="AQ16" i="25"/>
  <c r="AA16" i="25"/>
  <c r="K16" i="25"/>
  <c r="AC16" i="25"/>
  <c r="AZ16" i="25"/>
  <c r="P16" i="25"/>
  <c r="AP16" i="25"/>
  <c r="Z16" i="25"/>
  <c r="AR16" i="25"/>
  <c r="AV16" i="25"/>
  <c r="AU16" i="25"/>
  <c r="W16" i="25"/>
  <c r="AS16" i="25"/>
  <c r="I16" i="25"/>
  <c r="BB16" i="25"/>
  <c r="AH16" i="25"/>
  <c r="N16" i="25"/>
  <c r="H16" i="25"/>
  <c r="T16" i="25"/>
  <c r="AW16" i="25"/>
  <c r="AN16" i="25"/>
  <c r="AM16" i="25"/>
  <c r="S16" i="25"/>
  <c r="AK16" i="25"/>
  <c r="AJ16" i="25"/>
  <c r="AX16" i="25"/>
  <c r="AD16" i="25"/>
  <c r="BC16" i="25"/>
  <c r="O16" i="25"/>
  <c r="AB16" i="25"/>
  <c r="V16" i="25"/>
  <c r="AY16" i="25"/>
  <c r="BA16" i="25"/>
  <c r="X16" i="25"/>
  <c r="R16" i="25"/>
  <c r="AO16" i="25"/>
  <c r="AI16" i="25"/>
  <c r="Y16" i="25"/>
  <c r="AT16" i="25"/>
  <c r="M16" i="25"/>
  <c r="AE16" i="25"/>
  <c r="Q16" i="25"/>
  <c r="AL16" i="25"/>
  <c r="J16" i="25"/>
  <c r="BH23" i="25" l="1"/>
  <c r="J12" i="25"/>
  <c r="N12" i="25"/>
  <c r="R12" i="25"/>
  <c r="V12" i="25"/>
  <c r="Z12" i="25"/>
  <c r="AD12" i="25"/>
  <c r="AH12" i="25"/>
  <c r="AL12" i="25"/>
  <c r="AP12" i="25"/>
  <c r="AU12" i="25"/>
  <c r="AU26" i="25" s="1"/>
  <c r="AU27" i="25" s="1"/>
  <c r="AU50" i="25" s="1"/>
  <c r="K12" i="25"/>
  <c r="O12" i="25"/>
  <c r="S12" i="25"/>
  <c r="W12" i="25"/>
  <c r="AA12" i="25"/>
  <c r="AE12" i="25"/>
  <c r="AI12" i="25"/>
  <c r="AM12" i="25"/>
  <c r="AQ12" i="25"/>
  <c r="AT12" i="25"/>
  <c r="AT26" i="25" s="1"/>
  <c r="AT27" i="25" s="1"/>
  <c r="AT50" i="25" s="1"/>
  <c r="H12" i="25"/>
  <c r="L12" i="25"/>
  <c r="P12" i="25"/>
  <c r="T12" i="25"/>
  <c r="X12" i="25"/>
  <c r="AB12" i="25"/>
  <c r="AF12" i="25"/>
  <c r="AJ12" i="25"/>
  <c r="AN12" i="25"/>
  <c r="AR12" i="25"/>
  <c r="AR26" i="25" s="1"/>
  <c r="AR27" i="25" s="1"/>
  <c r="AR50" i="25" s="1"/>
  <c r="AV12" i="25"/>
  <c r="AV26" i="25" s="1"/>
  <c r="AV27" i="25" s="1"/>
  <c r="AV50" i="25" s="1"/>
  <c r="AW12" i="25"/>
  <c r="AW26" i="25" s="1"/>
  <c r="AW27" i="25" s="1"/>
  <c r="AW50" i="25" s="1"/>
  <c r="I12" i="25"/>
  <c r="M12" i="25"/>
  <c r="Q12" i="25"/>
  <c r="U12" i="25"/>
  <c r="Y12" i="25"/>
  <c r="AC12" i="25"/>
  <c r="AG12" i="25"/>
  <c r="AK12" i="25"/>
  <c r="AO12" i="25"/>
  <c r="AS12" i="25"/>
  <c r="AS26" i="25" s="1"/>
  <c r="AS27" i="25" s="1"/>
  <c r="AS50" i="25" s="1"/>
  <c r="AX12" i="25"/>
  <c r="AX26" i="25" s="1"/>
  <c r="AX27" i="25" s="1"/>
  <c r="AX50" i="25" s="1"/>
  <c r="AY12" i="25"/>
  <c r="AY26" i="25" s="1"/>
  <c r="AY27" i="25" s="1"/>
  <c r="AY50" i="25" s="1"/>
  <c r="AZ12" i="25"/>
  <c r="AZ26" i="25" s="1"/>
  <c r="AZ27" i="25" s="1"/>
  <c r="AZ50" i="25" s="1"/>
  <c r="BA12" i="25"/>
  <c r="BA26" i="25" s="1"/>
  <c r="BA27" i="25" s="1"/>
  <c r="BA50" i="25" s="1"/>
  <c r="BB12" i="25"/>
  <c r="BB26" i="25" s="1"/>
  <c r="BB27" i="25" s="1"/>
  <c r="BB50" i="25" s="1"/>
  <c r="BC12" i="25"/>
  <c r="BC26" i="25" s="1"/>
  <c r="BC27" i="25" s="1"/>
  <c r="BC50" i="25" s="1"/>
  <c r="BG11" i="25"/>
  <c r="D8" i="31" s="1"/>
  <c r="L8" i="31" s="1"/>
  <c r="BF16" i="25"/>
  <c r="BG17" i="25"/>
  <c r="BH11" i="25"/>
  <c r="E8" i="31" s="1"/>
  <c r="M8" i="31" s="1"/>
  <c r="BE11" i="25"/>
  <c r="B8" i="31" s="1"/>
  <c r="J8" i="31" s="1"/>
  <c r="BE16" i="25"/>
  <c r="BE17" i="25"/>
  <c r="BF11" i="25"/>
  <c r="C8" i="31" s="1"/>
  <c r="K8" i="31" s="1"/>
  <c r="BH16" i="25"/>
  <c r="BG16" i="25"/>
  <c r="BH17" i="25"/>
  <c r="BF17" i="25"/>
  <c r="M20" i="5" l="1"/>
  <c r="E20" i="31"/>
  <c r="L14" i="5"/>
  <c r="D14" i="31"/>
  <c r="L14" i="31" s="1"/>
  <c r="K14" i="5"/>
  <c r="C14" i="31"/>
  <c r="K14" i="31" s="1"/>
  <c r="J14" i="5"/>
  <c r="B14" i="31"/>
  <c r="J14" i="31" s="1"/>
  <c r="M14" i="5"/>
  <c r="E14" i="31"/>
  <c r="M14" i="31" s="1"/>
  <c r="M13" i="5"/>
  <c r="E13" i="31"/>
  <c r="L13" i="5"/>
  <c r="D13" i="31"/>
  <c r="J13" i="5"/>
  <c r="B13" i="31"/>
  <c r="K13" i="5"/>
  <c r="C13" i="31"/>
  <c r="BH12" i="25"/>
  <c r="BH26" i="25" s="1"/>
  <c r="BF12" i="25"/>
  <c r="BG12" i="25"/>
  <c r="BE12" i="25"/>
  <c r="J8" i="5"/>
  <c r="L8" i="5"/>
  <c r="M8" i="5"/>
  <c r="K8" i="5"/>
  <c r="M9" i="5" l="1"/>
  <c r="M21" i="5" s="1"/>
  <c r="E9" i="31"/>
  <c r="M9" i="31" s="1"/>
  <c r="L9" i="5"/>
  <c r="D9" i="31"/>
  <c r="L9" i="31" s="1"/>
  <c r="K9" i="5"/>
  <c r="C9" i="31"/>
  <c r="K9" i="31" s="1"/>
  <c r="J9" i="5"/>
  <c r="B9" i="31"/>
  <c r="J9" i="31" s="1"/>
  <c r="K13" i="31"/>
  <c r="L13" i="31"/>
  <c r="J13" i="31"/>
  <c r="M13" i="31"/>
  <c r="G4" i="5"/>
  <c r="G6" i="5" s="1"/>
  <c r="G16" i="5" s="1"/>
  <c r="G20" i="5" s="1"/>
  <c r="G25" i="5" s="1"/>
  <c r="BH27" i="25"/>
  <c r="BH50" i="25" s="1"/>
  <c r="E21" i="31" l="1"/>
  <c r="E24" i="31" s="1"/>
  <c r="G27" i="5"/>
  <c r="G31" i="5"/>
  <c r="V23" i="25"/>
  <c r="V26" i="25" s="1"/>
  <c r="V27" i="25" s="1"/>
  <c r="V50" i="25" s="1"/>
  <c r="T23" i="25" l="1"/>
  <c r="X23" i="25"/>
  <c r="X26" i="25" s="1"/>
  <c r="X27" i="25" s="1"/>
  <c r="X50" i="25" s="1"/>
  <c r="P23" i="25"/>
  <c r="P26" i="25" s="1"/>
  <c r="P27" i="25" s="1"/>
  <c r="P50" i="25" s="1"/>
  <c r="AD23" i="25"/>
  <c r="AD26" i="25" s="1"/>
  <c r="AD27" i="25" s="1"/>
  <c r="AD50" i="25" s="1"/>
  <c r="AE23" i="25"/>
  <c r="AE26" i="25" s="1"/>
  <c r="AE27" i="25" s="1"/>
  <c r="AE50" i="25" s="1"/>
  <c r="J23" i="25"/>
  <c r="J26" i="25" s="1"/>
  <c r="J27" i="25" s="1"/>
  <c r="J50" i="25" s="1"/>
  <c r="AH23" i="25"/>
  <c r="AH26" i="25" s="1"/>
  <c r="AH27" i="25" s="1"/>
  <c r="AH50" i="25" s="1"/>
  <c r="I23" i="25"/>
  <c r="I26" i="25" s="1"/>
  <c r="I27" i="25" s="1"/>
  <c r="I50" i="25" s="1"/>
  <c r="AG23" i="25"/>
  <c r="AG26" i="25" s="1"/>
  <c r="AG27" i="25" s="1"/>
  <c r="AG50" i="25" s="1"/>
  <c r="AB23" i="25"/>
  <c r="AB26" i="25" s="1"/>
  <c r="AB27" i="25" s="1"/>
  <c r="AB50" i="25" s="1"/>
  <c r="AI23" i="25"/>
  <c r="AI26" i="25" s="1"/>
  <c r="AI27" i="25" s="1"/>
  <c r="AI50" i="25" s="1"/>
  <c r="AQ23" i="25"/>
  <c r="AQ26" i="25" s="1"/>
  <c r="AQ27" i="25" s="1"/>
  <c r="AQ50" i="25" s="1"/>
  <c r="T26" i="25"/>
  <c r="T27" i="25" s="1"/>
  <c r="T50" i="25" s="1"/>
  <c r="H23" i="25"/>
  <c r="AO23" i="25"/>
  <c r="AO26" i="25" s="1"/>
  <c r="AO27" i="25" s="1"/>
  <c r="AO50" i="25" s="1"/>
  <c r="AL23" i="25"/>
  <c r="AL26" i="25" s="1"/>
  <c r="AL27" i="25" s="1"/>
  <c r="AL50" i="25" s="1"/>
  <c r="M23" i="25"/>
  <c r="M26" i="25" s="1"/>
  <c r="M27" i="25" s="1"/>
  <c r="M50" i="25" s="1"/>
  <c r="Y23" i="25"/>
  <c r="Y26" i="25" s="1"/>
  <c r="Y27" i="25" s="1"/>
  <c r="Y50" i="25" s="1"/>
  <c r="AF23" i="25"/>
  <c r="U23" i="25"/>
  <c r="U26" i="25" s="1"/>
  <c r="U27" i="25" s="1"/>
  <c r="U50" i="25" s="1"/>
  <c r="AM23" i="25"/>
  <c r="AM26" i="25" s="1"/>
  <c r="AM27" i="25" s="1"/>
  <c r="AM50" i="25" s="1"/>
  <c r="AJ23" i="25"/>
  <c r="AJ26" i="25" s="1"/>
  <c r="AJ27" i="25" s="1"/>
  <c r="AJ50" i="25" s="1"/>
  <c r="R23" i="25"/>
  <c r="R26" i="25" s="1"/>
  <c r="R27" i="25" s="1"/>
  <c r="R50" i="25" s="1"/>
  <c r="L23" i="25"/>
  <c r="L26" i="25" s="1"/>
  <c r="L27" i="25" s="1"/>
  <c r="L50" i="25" s="1"/>
  <c r="N23" i="25"/>
  <c r="N26" i="25" s="1"/>
  <c r="N27" i="25" s="1"/>
  <c r="N50" i="25" s="1"/>
  <c r="AN23" i="25"/>
  <c r="AN26" i="25" s="1"/>
  <c r="AN27" i="25" s="1"/>
  <c r="AN50" i="25" s="1"/>
  <c r="S23" i="25"/>
  <c r="S26" i="25" s="1"/>
  <c r="S27" i="25" s="1"/>
  <c r="S50" i="25" s="1"/>
  <c r="AK23" i="25"/>
  <c r="AK26" i="25" s="1"/>
  <c r="AK27" i="25" s="1"/>
  <c r="AK50" i="25" s="1"/>
  <c r="O23" i="25"/>
  <c r="O26" i="25" s="1"/>
  <c r="O27" i="25" s="1"/>
  <c r="O50" i="25" s="1"/>
  <c r="Q23" i="25"/>
  <c r="Q26" i="25" s="1"/>
  <c r="Q27" i="25" s="1"/>
  <c r="Q50" i="25" s="1"/>
  <c r="AA23" i="25"/>
  <c r="AA26" i="25" s="1"/>
  <c r="AA27" i="25" s="1"/>
  <c r="AA50" i="25" s="1"/>
  <c r="AC23" i="25"/>
  <c r="AC26" i="25" s="1"/>
  <c r="AC27" i="25" s="1"/>
  <c r="AC50" i="25" s="1"/>
  <c r="AP23" i="25"/>
  <c r="AP26" i="25" s="1"/>
  <c r="AP27" i="25" s="1"/>
  <c r="AP50" i="25" s="1"/>
  <c r="K23" i="25"/>
  <c r="K26" i="25" s="1"/>
  <c r="K27" i="25" s="1"/>
  <c r="K50" i="25" s="1"/>
  <c r="W23" i="25"/>
  <c r="W26" i="25" s="1"/>
  <c r="W27" i="25" s="1"/>
  <c r="W50" i="25" s="1"/>
  <c r="Z23" i="25"/>
  <c r="Z26" i="25" s="1"/>
  <c r="Z27" i="25" s="1"/>
  <c r="Z50" i="25" s="1"/>
  <c r="AF26" i="25" l="1"/>
  <c r="AF27" i="25" s="1"/>
  <c r="AF50" i="25" s="1"/>
  <c r="BG23" i="25"/>
  <c r="BE23" i="25"/>
  <c r="H26" i="25"/>
  <c r="H27" i="25" s="1"/>
  <c r="H50" i="25" s="1"/>
  <c r="BF23" i="25"/>
  <c r="BG26" i="25" l="1"/>
  <c r="D20" i="31"/>
  <c r="L20" i="5"/>
  <c r="L21" i="5" s="1"/>
  <c r="B20" i="31"/>
  <c r="BE26" i="25"/>
  <c r="J20" i="5"/>
  <c r="J21" i="5" s="1"/>
  <c r="BF26" i="25"/>
  <c r="K20" i="5"/>
  <c r="K21" i="5" s="1"/>
  <c r="C20" i="31"/>
  <c r="B21" i="31" l="1"/>
  <c r="B24" i="31" s="1"/>
  <c r="BF27" i="25"/>
  <c r="BF50" i="25" s="1"/>
  <c r="E4" i="5"/>
  <c r="E6" i="5" s="1"/>
  <c r="E16" i="5" s="1"/>
  <c r="E20" i="5" s="1"/>
  <c r="E25" i="5" s="1"/>
  <c r="D21" i="31"/>
  <c r="D24" i="31" s="1"/>
  <c r="C21" i="31"/>
  <c r="C24" i="31" s="1"/>
  <c r="D4" i="5"/>
  <c r="D6" i="5" s="1"/>
  <c r="D16" i="5" s="1"/>
  <c r="D20" i="5" s="1"/>
  <c r="D25" i="5" s="1"/>
  <c r="BE27" i="25"/>
  <c r="BE50" i="25" s="1"/>
  <c r="BG27" i="25"/>
  <c r="BG50" i="25" s="1"/>
  <c r="F4" i="5"/>
  <c r="F6" i="5" s="1"/>
  <c r="F16" i="5" s="1"/>
  <c r="F20" i="5" s="1"/>
  <c r="F25" i="5" s="1"/>
  <c r="F31" i="5" l="1"/>
  <c r="F27" i="5"/>
  <c r="E27" i="5"/>
  <c r="E31" i="5"/>
  <c r="D27" i="5"/>
  <c r="D31" i="5"/>
  <c r="K69" i="25"/>
  <c r="K71" i="25" s="1"/>
  <c r="BC69" i="25" l="1"/>
  <c r="BC71" i="25" s="1"/>
  <c r="AQ69" i="25"/>
  <c r="AQ71" i="25" s="1"/>
  <c r="J69" i="25"/>
  <c r="J71" i="25" s="1"/>
  <c r="AG69" i="25"/>
  <c r="AG71" i="25" s="1"/>
  <c r="X69" i="25"/>
  <c r="X71" i="25" s="1"/>
  <c r="Q69" i="25"/>
  <c r="Q71" i="25" s="1"/>
  <c r="AP69" i="25"/>
  <c r="AP71" i="25" s="1"/>
  <c r="AI69" i="25"/>
  <c r="AI71" i="25" s="1"/>
  <c r="AC69" i="25"/>
  <c r="AC71" i="25" s="1"/>
  <c r="H69" i="25"/>
  <c r="H71" i="25" s="1"/>
  <c r="AO69" i="25"/>
  <c r="AO71" i="25" s="1"/>
  <c r="S69" i="25"/>
  <c r="S71" i="25" s="1"/>
  <c r="AN69" i="25"/>
  <c r="AN71" i="25" s="1"/>
  <c r="AD69" i="25"/>
  <c r="AD71" i="25" s="1"/>
  <c r="AE69" i="25"/>
  <c r="AE71" i="25" s="1"/>
  <c r="AV69" i="25"/>
  <c r="AV71" i="25" s="1"/>
  <c r="BA69" i="25"/>
  <c r="BA71" i="25" s="1"/>
  <c r="AM69" i="25"/>
  <c r="AM71" i="25" s="1"/>
  <c r="AS69" i="25"/>
  <c r="AS71" i="25" s="1"/>
  <c r="AU69" i="25"/>
  <c r="AU71" i="25" s="1"/>
  <c r="O69" i="25"/>
  <c r="O71" i="25" s="1"/>
  <c r="U69" i="25"/>
  <c r="U71" i="25" s="1"/>
  <c r="M69" i="25"/>
  <c r="M71" i="25" s="1"/>
  <c r="AT69" i="25"/>
  <c r="AT71" i="25" s="1"/>
  <c r="AK69" i="25"/>
  <c r="AK71" i="25" s="1"/>
  <c r="F71" i="25"/>
  <c r="AL69" i="25"/>
  <c r="AL71" i="25" s="1"/>
  <c r="AJ69" i="25"/>
  <c r="AJ71" i="25" s="1"/>
  <c r="AX69" i="25"/>
  <c r="AX71" i="25" s="1"/>
  <c r="AR69" i="25"/>
  <c r="P69" i="25"/>
  <c r="P71" i="25" s="1"/>
  <c r="AA69" i="25"/>
  <c r="AA71" i="25" s="1"/>
  <c r="AH69" i="25"/>
  <c r="AH71" i="25" s="1"/>
  <c r="BB69" i="25"/>
  <c r="BB71" i="25" s="1"/>
  <c r="Z69" i="25"/>
  <c r="Z71" i="25" s="1"/>
  <c r="AW69" i="25"/>
  <c r="AW71" i="25" s="1"/>
  <c r="T69" i="25"/>
  <c r="Y69" i="25"/>
  <c r="Y71" i="25" s="1"/>
  <c r="N69" i="25"/>
  <c r="N71" i="25" s="1"/>
  <c r="AZ69" i="25"/>
  <c r="AZ71" i="25" s="1"/>
  <c r="AF69" i="25"/>
  <c r="R69" i="25"/>
  <c r="R71" i="25" s="1"/>
  <c r="W69" i="25"/>
  <c r="W71" i="25" s="1"/>
  <c r="AY69" i="25"/>
  <c r="AY71" i="25" s="1"/>
  <c r="L69" i="25"/>
  <c r="L71" i="25" s="1"/>
  <c r="I69" i="25"/>
  <c r="I71" i="25" s="1"/>
  <c r="V69" i="25"/>
  <c r="V71" i="25" s="1"/>
  <c r="AB69" i="25"/>
  <c r="AB71" i="25" s="1"/>
  <c r="T71" i="25" l="1"/>
  <c r="BF71" i="25" s="1"/>
  <c r="BF69" i="25"/>
  <c r="BE71" i="25"/>
  <c r="AR71" i="25"/>
  <c r="BH71" i="25" s="1"/>
  <c r="BH69" i="25"/>
  <c r="BG69" i="25"/>
  <c r="AF71" i="25"/>
  <c r="BG71" i="25" s="1"/>
  <c r="BE69" i="25"/>
  <c r="R41" i="5" l="1"/>
  <c r="R42" i="5" s="1"/>
  <c r="R44" i="5" s="1"/>
  <c r="N41" i="5"/>
  <c r="N42" i="5" s="1"/>
  <c r="N44" i="5" s="1"/>
  <c r="J41" i="5"/>
  <c r="J42" i="5" s="1"/>
  <c r="J44" i="5" s="1"/>
  <c r="V41" i="5"/>
  <c r="V42" i="5" s="1"/>
  <c r="V44" i="5" s="1"/>
  <c r="AM111" i="25"/>
  <c r="AM113" i="25" s="1"/>
  <c r="AT111" i="25"/>
  <c r="AT113" i="25" s="1"/>
  <c r="H111" i="25"/>
  <c r="H113" i="25" s="1"/>
  <c r="AL111" i="25" l="1"/>
  <c r="AL113" i="25" s="1"/>
  <c r="W111" i="25"/>
  <c r="W113" i="25" s="1"/>
  <c r="AA111" i="25"/>
  <c r="AA113" i="25" s="1"/>
  <c r="I111" i="25"/>
  <c r="I113" i="25" s="1"/>
  <c r="BC111" i="25"/>
  <c r="BC113" i="25" s="1"/>
  <c r="AW111" i="25"/>
  <c r="AW113" i="25" s="1"/>
  <c r="AJ111" i="25"/>
  <c r="AJ113" i="25" s="1"/>
  <c r="L111" i="25"/>
  <c r="L113" i="25" s="1"/>
  <c r="AC111" i="25"/>
  <c r="AC113" i="25" s="1"/>
  <c r="S111" i="25"/>
  <c r="S113" i="25" s="1"/>
  <c r="R111" i="25"/>
  <c r="R113" i="25" s="1"/>
  <c r="AU111" i="25"/>
  <c r="AU113" i="25" s="1"/>
  <c r="AH111" i="25"/>
  <c r="AH113" i="25" s="1"/>
  <c r="F113" i="25"/>
  <c r="AR111" i="25"/>
  <c r="T111" i="25"/>
  <c r="AP111" i="25"/>
  <c r="AP113" i="25" s="1"/>
  <c r="AD111" i="25"/>
  <c r="AD113" i="25" s="1"/>
  <c r="M111" i="25"/>
  <c r="M113" i="25" s="1"/>
  <c r="AB111" i="25"/>
  <c r="AB113" i="25" s="1"/>
  <c r="AE111" i="25"/>
  <c r="AE113" i="25" s="1"/>
  <c r="AK111" i="25"/>
  <c r="AK113" i="25" s="1"/>
  <c r="V111" i="25"/>
  <c r="V113" i="25" s="1"/>
  <c r="AX111" i="25"/>
  <c r="AX113" i="25" s="1"/>
  <c r="J111" i="25"/>
  <c r="J113" i="25" s="1"/>
  <c r="AF111" i="25"/>
  <c r="AS111" i="25"/>
  <c r="AS113" i="25" s="1"/>
  <c r="Z111" i="25"/>
  <c r="Z113" i="25" s="1"/>
  <c r="AY111" i="25"/>
  <c r="AY113" i="25" s="1"/>
  <c r="O111" i="25"/>
  <c r="O113" i="25" s="1"/>
  <c r="AO111" i="25"/>
  <c r="AO113" i="25" s="1"/>
  <c r="K111" i="25"/>
  <c r="K113" i="25" s="1"/>
  <c r="BA111" i="25"/>
  <c r="BA113" i="25" s="1"/>
  <c r="AN111" i="25"/>
  <c r="AN113" i="25" s="1"/>
  <c r="P111" i="25"/>
  <c r="P113" i="25" s="1"/>
  <c r="AZ111" i="25"/>
  <c r="AZ113" i="25" s="1"/>
  <c r="Q111" i="25"/>
  <c r="Q113" i="25" s="1"/>
  <c r="BB111" i="25"/>
  <c r="BB113" i="25" s="1"/>
  <c r="AI111" i="25"/>
  <c r="AI113" i="25" s="1"/>
  <c r="AG111" i="25"/>
  <c r="AG113" i="25" s="1"/>
  <c r="N111" i="25"/>
  <c r="N113" i="25" s="1"/>
  <c r="Y111" i="25"/>
  <c r="Y113" i="25" s="1"/>
  <c r="U111" i="25"/>
  <c r="U113" i="25" s="1"/>
  <c r="AV111" i="25"/>
  <c r="AV113" i="25" s="1"/>
  <c r="X111" i="25"/>
  <c r="X113" i="25" s="1"/>
  <c r="AQ111" i="25"/>
  <c r="AQ113" i="25" s="1"/>
  <c r="BE111" i="25" l="1"/>
  <c r="F20" i="31" s="1"/>
  <c r="BE113" i="25"/>
  <c r="AR113" i="25"/>
  <c r="BH113" i="25" s="1"/>
  <c r="BH111" i="25"/>
  <c r="AF113" i="25"/>
  <c r="BG113" i="25" s="1"/>
  <c r="BG111" i="25"/>
  <c r="BF111" i="25"/>
  <c r="T113" i="25"/>
  <c r="BF113" i="25" s="1"/>
  <c r="K41" i="5" l="1"/>
  <c r="K42" i="5" s="1"/>
  <c r="K44" i="5" s="1"/>
  <c r="M46" i="5" s="1"/>
  <c r="D32" i="5" s="1"/>
  <c r="D33" i="5" s="1"/>
  <c r="H20" i="31"/>
  <c r="S41" i="5"/>
  <c r="S42" i="5" s="1"/>
  <c r="S44" i="5" s="1"/>
  <c r="U46" i="5" s="1"/>
  <c r="O41" i="5"/>
  <c r="O42" i="5" s="1"/>
  <c r="O44" i="5" s="1"/>
  <c r="Q46" i="5" s="1"/>
  <c r="G20" i="31"/>
  <c r="W41" i="5"/>
  <c r="W42" i="5" s="1"/>
  <c r="W44" i="5" s="1"/>
  <c r="Y46" i="5" s="1"/>
  <c r="G32" i="5" s="1"/>
  <c r="G33" i="5" s="1"/>
  <c r="G35" i="5" s="1"/>
  <c r="I20" i="31"/>
  <c r="J20" i="31"/>
  <c r="J21" i="31" s="1"/>
  <c r="F21" i="31"/>
  <c r="F32" i="5" l="1"/>
  <c r="F33" i="5" s="1"/>
  <c r="F35" i="5" s="1"/>
  <c r="E32" i="5"/>
  <c r="E33" i="5" s="1"/>
  <c r="E35" i="5" s="1"/>
  <c r="K20" i="31"/>
  <c r="K21" i="31" s="1"/>
  <c r="G21" i="31"/>
  <c r="I21" i="31"/>
  <c r="M20" i="31"/>
  <c r="M21" i="31" s="1"/>
  <c r="L20" i="31"/>
  <c r="L21" i="31" s="1"/>
  <c r="H21" i="3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Rob Stewart</author>
  </authors>
  <commentList>
    <comment ref="F3" authorId="0" shapeId="0" xr:uid="{8AB852BD-53B4-4D2F-B7C3-135DAB634B2D}">
      <text>
        <r>
          <rPr>
            <sz val="9"/>
            <color indexed="81"/>
            <rFont val="Tahoma"/>
            <family val="2"/>
          </rPr>
          <t>This should be the dollar value of income received from GP activity</t>
        </r>
      </text>
    </comment>
    <comment ref="F4" authorId="0" shapeId="0" xr:uid="{F4786D74-0FFD-4AED-8D0E-5EC938176374}">
      <text>
        <r>
          <rPr>
            <sz val="9"/>
            <color indexed="81"/>
            <rFont val="Tahoma"/>
            <family val="2"/>
          </rPr>
          <t>This should be the number of consultations completed in a year by GPs.</t>
        </r>
      </text>
    </comment>
    <comment ref="H5" authorId="0" shapeId="0" xr:uid="{91F3D346-88A9-4CAD-9FF4-B99D9EBA33DC}">
      <text>
        <r>
          <rPr>
            <sz val="9"/>
            <color indexed="81"/>
            <rFont val="Tahoma"/>
            <family val="2"/>
          </rPr>
          <t>This is the name of the line in your P&amp;L</t>
        </r>
      </text>
    </comment>
    <comment ref="I5" authorId="0" shapeId="0" xr:uid="{9A22F713-ED85-4038-85F2-7328C21E2637}">
      <text>
        <r>
          <rPr>
            <sz val="9"/>
            <color indexed="81"/>
            <rFont val="Tahoma"/>
            <family val="2"/>
          </rPr>
          <t>This is the dollar value of the line in your P&amp;L</t>
        </r>
      </text>
    </comment>
    <comment ref="J5" authorId="0" shapeId="0" xr:uid="{A4F315B5-FBA7-4C7B-BAC8-7FA9FE4086F5}">
      <text>
        <r>
          <rPr>
            <sz val="9"/>
            <color indexed="81"/>
            <rFont val="Tahoma"/>
            <family val="2"/>
          </rPr>
          <t>Pick the type of transaction from the dropdown box that best describes the line in the P&amp;L</t>
        </r>
      </text>
    </comment>
    <comment ref="K5" authorId="0" shapeId="0" xr:uid="{B898FDF6-C4F0-4250-A471-277CBDE17420}">
      <text>
        <r>
          <rPr>
            <sz val="9"/>
            <color indexed="81"/>
            <rFont val="Tahoma"/>
            <family val="2"/>
          </rPr>
          <t>Select from the dropdown whether the cost is variable or fixed</t>
        </r>
      </text>
    </comment>
    <comment ref="F8" authorId="0" shapeId="0" xr:uid="{491CE2CA-914B-4E1D-96C0-8FEE40E065FA}">
      <text>
        <r>
          <rPr>
            <sz val="9"/>
            <color indexed="81"/>
            <rFont val="Tahoma"/>
            <family val="2"/>
          </rPr>
          <t>This should be the dollar value of income received from Nurse activity</t>
        </r>
      </text>
    </comment>
    <comment ref="F9" authorId="0" shapeId="0" xr:uid="{B1C322EA-9CC6-4E39-9AF6-6889E0E762F0}">
      <text>
        <r>
          <rPr>
            <sz val="9"/>
            <color indexed="81"/>
            <rFont val="Tahoma"/>
            <family val="2"/>
          </rPr>
          <t>This should be the number of consultations completed in a year by Nurses.</t>
        </r>
      </text>
    </comment>
    <comment ref="C14" authorId="0" shapeId="0" xr:uid="{9627DFDC-5CC0-44F5-9FBB-077BB615E138}">
      <text>
        <r>
          <rPr>
            <sz val="9"/>
            <color indexed="81"/>
            <rFont val="Tahoma"/>
            <family val="2"/>
          </rPr>
          <t>This is the average number of weeks one FTE staff member would take. This helps to understand how much of each FTE is available to work.</t>
        </r>
      </text>
    </comment>
    <comment ref="F14" authorId="0" shapeId="0" xr:uid="{41FEB7C1-AD57-4D93-83DC-9F8A4AA69A6D}">
      <text>
        <r>
          <rPr>
            <sz val="9"/>
            <color indexed="81"/>
            <rFont val="Tahoma"/>
            <family val="2"/>
          </rPr>
          <t>It is assumed you will receive this funding on a monthly basis</t>
        </r>
      </text>
    </comment>
    <comment ref="F15" authorId="0" shapeId="0" xr:uid="{FA29F681-F35F-4A97-9827-D02A7F55559F}">
      <text>
        <r>
          <rPr>
            <sz val="9"/>
            <color indexed="81"/>
            <rFont val="Tahoma"/>
            <family val="2"/>
          </rPr>
          <t>It is assumed you will receive this funding at the end of each HCH year, having achieved objectives for that year.</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Rob Stewart</author>
  </authors>
  <commentList>
    <comment ref="C4" authorId="0" shapeId="0" xr:uid="{D3059EAD-85DF-45A6-94F7-EFF46A36CBC8}">
      <text>
        <r>
          <rPr>
            <sz val="9"/>
            <color indexed="81"/>
            <rFont val="Tahoma"/>
            <family val="2"/>
          </rPr>
          <t>How long will it take to scale up GP Triage from start to full usage?</t>
        </r>
      </text>
    </comment>
    <comment ref="C9" authorId="0" shapeId="0" xr:uid="{D5CF8FE2-637C-4DB0-BC37-9BA0E056785C}">
      <text>
        <r>
          <rPr>
            <sz val="9"/>
            <color indexed="81"/>
            <rFont val="Tahoma"/>
            <family val="2"/>
          </rPr>
          <t xml:space="preserve">52 weeks less weeks you may not do huddles (e.g. Christmas/New Years)
</t>
        </r>
      </text>
    </comment>
    <comment ref="C10" authorId="0" shapeId="0" xr:uid="{E4D0B795-1596-4A22-A6E9-B9D22FE5F7F8}">
      <text>
        <r>
          <rPr>
            <sz val="9"/>
            <color indexed="81"/>
            <rFont val="Tahoma"/>
            <family val="2"/>
          </rPr>
          <t>Number of minutes per call to advise re GP triage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Rob Stewart</author>
  </authors>
  <commentList>
    <comment ref="C4" authorId="0" shapeId="0" xr:uid="{2943AEE5-1813-4295-9B94-709E9A21528B}">
      <text>
        <r>
          <rPr>
            <sz val="9"/>
            <color indexed="81"/>
            <rFont val="Tahoma"/>
            <family val="2"/>
          </rPr>
          <t>How long will it take to scale up GP Triage from start to full usage?</t>
        </r>
      </text>
    </comment>
    <comment ref="C6" authorId="0" shapeId="0" xr:uid="{830A5B88-6124-45D8-A9A8-F11CB9C6A66E}">
      <text>
        <r>
          <rPr>
            <sz val="9"/>
            <color indexed="81"/>
            <rFont val="Tahoma"/>
            <family val="2"/>
          </rPr>
          <t xml:space="preserve">E.g. enter 5 if daily, 1 if once a week.
</t>
        </r>
      </text>
    </comment>
    <comment ref="C7" authorId="0" shapeId="0" xr:uid="{033A6381-248D-4E87-9613-E944411D00C0}">
      <text>
        <r>
          <rPr>
            <sz val="9"/>
            <color indexed="81"/>
            <rFont val="Tahoma"/>
            <family val="2"/>
          </rPr>
          <t>How much time would you need to block out of templates to do huddles?</t>
        </r>
      </text>
    </comment>
    <comment ref="C8" authorId="0" shapeId="0" xr:uid="{F3673205-4EA0-4FE0-8D42-2B807764DE4A}">
      <text>
        <r>
          <rPr>
            <sz val="9"/>
            <color indexed="81"/>
            <rFont val="Tahoma"/>
            <family val="2"/>
          </rPr>
          <t>52 weeks less weeks you may not do huddles (e.g. Christmas/New Years)</t>
        </r>
      </text>
    </comment>
    <comment ref="C11" authorId="0" shapeId="0" xr:uid="{38F3A364-8C9E-4705-96B5-5184CF5DB866}">
      <text>
        <r>
          <rPr>
            <sz val="9"/>
            <color indexed="81"/>
            <rFont val="Tahoma"/>
            <family val="2"/>
          </rPr>
          <t>If you enter a % then the model will apply this to your FTE.</t>
        </r>
      </text>
    </comment>
    <comment ref="D11" authorId="0" shapeId="0" xr:uid="{E396522E-4081-4B9E-A371-D9D908FA2318}">
      <text>
        <r>
          <rPr>
            <sz val="9"/>
            <color indexed="81"/>
            <rFont val="Tahoma"/>
            <family val="2"/>
          </rPr>
          <t>If you enter a number then the model will use the number</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Rob Stewart</author>
  </authors>
  <commentList>
    <comment ref="C4" authorId="0" shapeId="0" xr:uid="{3A020395-6FB8-497B-9AB6-9EB4B8F3BE20}">
      <text>
        <r>
          <rPr>
            <sz val="9"/>
            <color indexed="81"/>
            <rFont val="Tahoma"/>
            <family val="2"/>
          </rPr>
          <t>How long will it take to scale up GP Triage from start to full usage?</t>
        </r>
      </text>
    </comment>
    <comment ref="C5" authorId="0" shapeId="0" xr:uid="{D8DB661F-25F5-4BE2-ACB3-661E34669132}">
      <text>
        <r>
          <rPr>
            <sz val="9"/>
            <color indexed="81"/>
            <rFont val="Tahoma"/>
            <family val="2"/>
          </rPr>
          <t>E.g. enter 1 for once a month, 0.5 for every 2 months</t>
        </r>
      </text>
    </comment>
    <comment ref="C7" authorId="0" shapeId="0" xr:uid="{0462D4C8-A3D3-4233-8591-804368A1BED5}">
      <text>
        <r>
          <rPr>
            <sz val="9"/>
            <color indexed="81"/>
            <rFont val="Tahoma"/>
            <family val="2"/>
          </rPr>
          <t>An approximate number of patients you'd expect to discuss in the time allowed.</t>
        </r>
      </text>
    </comment>
    <comment ref="C10" authorId="0" shapeId="0" xr:uid="{E9955434-318F-46B7-867C-99078566E512}">
      <text>
        <r>
          <rPr>
            <sz val="9"/>
            <color indexed="81"/>
            <rFont val="Tahoma"/>
            <family val="2"/>
          </rPr>
          <t>Enter the number of additional people present. It is assumed that person will be present for the whole meeting.</t>
        </r>
      </text>
    </comment>
    <comment ref="C11" authorId="0" shapeId="0" xr:uid="{108AD783-4622-446E-9055-AC3E2858BCA4}">
      <text>
        <r>
          <rPr>
            <sz val="9"/>
            <color indexed="81"/>
            <rFont val="Tahoma"/>
            <family val="2"/>
          </rPr>
          <t>Enter the number of additional people present. It is assumed that person will be present for the whole meeting.</t>
        </r>
      </text>
    </comment>
    <comment ref="C12" authorId="0" shapeId="0" xr:uid="{9F385570-B28D-490E-8B22-4C8A6C8E7296}">
      <text>
        <r>
          <rPr>
            <sz val="9"/>
            <color indexed="81"/>
            <rFont val="Tahoma"/>
            <family val="2"/>
          </rPr>
          <t>Enter the number of additional people present. It is assumed that person will be present for the whole meeting.</t>
        </r>
      </text>
    </comment>
    <comment ref="C13" authorId="0" shapeId="0" xr:uid="{9DE770E1-9903-4EFF-AF34-95B87B459314}">
      <text>
        <r>
          <rPr>
            <sz val="9"/>
            <color indexed="81"/>
            <rFont val="Tahoma"/>
            <family val="2"/>
          </rPr>
          <t>Enter the number of additional people present. It is assumed that person will be present for the whole meeting.</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Rob Stewart</author>
  </authors>
  <commentList>
    <comment ref="C4" authorId="0" shapeId="0" xr:uid="{E4E1BCFD-64C8-47B9-82E3-47AF0C5F3ABA}">
      <text>
        <r>
          <rPr>
            <sz val="9"/>
            <color indexed="81"/>
            <rFont val="Tahoma"/>
            <family val="2"/>
          </rPr>
          <t>How long will it take to scale up GP Triage from start to full usage?</t>
        </r>
      </text>
    </comment>
    <comment ref="E7" authorId="0" shapeId="0" xr:uid="{DDA00506-3C3F-4531-9426-1ADC2EDD2A84}">
      <text>
        <r>
          <rPr>
            <sz val="9"/>
            <color indexed="81"/>
            <rFont val="Tahoma"/>
            <family val="2"/>
          </rPr>
          <t xml:space="preserve">Enter the name of the task
</t>
        </r>
      </text>
    </comment>
  </commentList>
</comments>
</file>

<file path=xl/sharedStrings.xml><?xml version="1.0" encoding="utf-8"?>
<sst xmlns="http://schemas.openxmlformats.org/spreadsheetml/2006/main" count="569" uniqueCount="331">
  <si>
    <t>GP Triage</t>
  </si>
  <si>
    <t>Avoided appointment via diagnostics</t>
  </si>
  <si>
    <t>Standard appointment</t>
  </si>
  <si>
    <t>Length of GP Triage session in minutes</t>
  </si>
  <si>
    <t>GP Triage Advice Only</t>
  </si>
  <si>
    <t>Huddles</t>
  </si>
  <si>
    <t>GP F2F Consults</t>
  </si>
  <si>
    <t>Nurse F2F Consults</t>
  </si>
  <si>
    <t>Telephone Consults</t>
  </si>
  <si>
    <t>GP Triage Scripts</t>
  </si>
  <si>
    <t>Practice Nurse FTE</t>
  </si>
  <si>
    <t>Annual FTE Hours</t>
  </si>
  <si>
    <t>GP</t>
  </si>
  <si>
    <t>Nurse</t>
  </si>
  <si>
    <t>HCA</t>
  </si>
  <si>
    <t>Enrolled Patients</t>
  </si>
  <si>
    <t>%</t>
  </si>
  <si>
    <t>Existing HCA FTE</t>
  </si>
  <si>
    <t>New HCA FTE</t>
  </si>
  <si>
    <t>% of Nurses attending</t>
  </si>
  <si>
    <t>Admin FTE</t>
  </si>
  <si>
    <t>% of Admin attending</t>
  </si>
  <si>
    <t>Length of huddle in minutes</t>
  </si>
  <si>
    <t>Weeks per year huddles completed</t>
  </si>
  <si>
    <t>% of HCA's attending</t>
  </si>
  <si>
    <t>Admin</t>
  </si>
  <si>
    <t>These calculations assumes that there is only one GP and one nurse attending per patient, and that these people change throughout the meeting depending on the patient being discussed.
If this is not the case then use the values below to tweak this</t>
  </si>
  <si>
    <t>Average # of GPs attending per patient</t>
  </si>
  <si>
    <t>Average # of Nurses attending per patient</t>
  </si>
  <si>
    <t>Annual Minutes</t>
  </si>
  <si>
    <t>Activity Revenue</t>
  </si>
  <si>
    <t>Overheads</t>
  </si>
  <si>
    <t>Direct Costs</t>
  </si>
  <si>
    <t>Other Income</t>
  </si>
  <si>
    <t>Additional admin FTE to move calls off the front desk</t>
  </si>
  <si>
    <t>Additional Admin minutes required</t>
  </si>
  <si>
    <t>Annual cost increase</t>
  </si>
  <si>
    <t>Call Management</t>
  </si>
  <si>
    <t>Explanation</t>
  </si>
  <si>
    <t>Amount</t>
  </si>
  <si>
    <t>Revenue</t>
  </si>
  <si>
    <t># of GP Triage sessions on Monday</t>
  </si>
  <si>
    <t># of GP Triage sessions on Tuesday</t>
  </si>
  <si>
    <t># of GP Triage sessions on Wednesday</t>
  </si>
  <si>
    <t># of GP Triage sessions on Thursday</t>
  </si>
  <si>
    <t># of GP Triage sessions on Friday</t>
  </si>
  <si>
    <t># of GP Triage sessions per week</t>
  </si>
  <si>
    <t>GP triage sessions per week</t>
  </si>
  <si>
    <t>Consultations forgone per year</t>
  </si>
  <si>
    <t>Outcomes</t>
  </si>
  <si>
    <t>Calculations</t>
  </si>
  <si>
    <t>Triage Calls per Session</t>
  </si>
  <si>
    <t>Average annual use of Triage slots</t>
  </si>
  <si>
    <t>Weeks of GP triage per year</t>
  </si>
  <si>
    <t>Revenue generated through GP Triage</t>
  </si>
  <si>
    <t>Triage Calls completed per year</t>
  </si>
  <si>
    <t>Total Revenue change from GP Triage</t>
  </si>
  <si>
    <t>Expenses</t>
  </si>
  <si>
    <t>Start Date</t>
  </si>
  <si>
    <t>Implementation period</t>
  </si>
  <si>
    <t>Annual value</t>
  </si>
  <si>
    <t>Months from start to full implementation</t>
  </si>
  <si>
    <t>Start date of Health Care Home</t>
  </si>
  <si>
    <t>Financial Year</t>
  </si>
  <si>
    <t>Health Care Home year</t>
  </si>
  <si>
    <t>Month</t>
  </si>
  <si>
    <t>First year one-off costs</t>
  </si>
  <si>
    <t>Ongoing annual costs</t>
  </si>
  <si>
    <t>Unused GP triage slots</t>
  </si>
  <si>
    <t>Revenue forgone per year from GP triage time</t>
  </si>
  <si>
    <t>Year One Cost</t>
  </si>
  <si>
    <t>HCH Implemention Funding</t>
  </si>
  <si>
    <t>% of GPs attending per day</t>
  </si>
  <si>
    <t>Attendees</t>
  </si>
  <si>
    <t>Including huddle and 'travel' time</t>
  </si>
  <si>
    <t>GPs</t>
  </si>
  <si>
    <t>Activity Revenue per year from GPs</t>
  </si>
  <si>
    <t>Average revenue per consultation from GPs</t>
  </si>
  <si>
    <t>Activity Revenue per year from Nurses</t>
  </si>
  <si>
    <t>Enrolled Consultations per year from Nurses</t>
  </si>
  <si>
    <t>Average revenue per consultation from Nurses</t>
  </si>
  <si>
    <t>Average Revenue</t>
  </si>
  <si>
    <t>GP triage</t>
  </si>
  <si>
    <t>GP Revenue forgone</t>
  </si>
  <si>
    <t>Nurse revenue forgone</t>
  </si>
  <si>
    <t>Total revenue forgone</t>
  </si>
  <si>
    <t>Multi-discliplinary Team Meetings</t>
  </si>
  <si>
    <t>Average HCA Hourly rate</t>
  </si>
  <si>
    <t>Cost of additional HCA resource</t>
  </si>
  <si>
    <t>Health Care Assistants</t>
  </si>
  <si>
    <t xml:space="preserve">Pro rated per patient </t>
  </si>
  <si>
    <t>Pro rated per patient and %</t>
  </si>
  <si>
    <t>Enrolled population</t>
  </si>
  <si>
    <t>Population closest to practice size</t>
  </si>
  <si>
    <t>Uptake closest to target portal activation</t>
  </si>
  <si>
    <t>Population</t>
  </si>
  <si>
    <t>Portal Uptake</t>
  </si>
  <si>
    <t>Unique</t>
  </si>
  <si>
    <t>FTE Change Rate</t>
  </si>
  <si>
    <t>Forecast FTE Change</t>
  </si>
  <si>
    <t>Months from start to achievement to target</t>
  </si>
  <si>
    <t>Forecast Minutes change</t>
  </si>
  <si>
    <t>Changes in Time</t>
  </si>
  <si>
    <t>Total Profit change</t>
  </si>
  <si>
    <t>Total Revenue change</t>
  </si>
  <si>
    <t>Total GP time change</t>
  </si>
  <si>
    <t>Changes in GP Time</t>
  </si>
  <si>
    <t>Changes in Nurse Time</t>
  </si>
  <si>
    <t>Changes in HCA Time</t>
  </si>
  <si>
    <t>Extended hours</t>
  </si>
  <si>
    <t>Patient portals</t>
  </si>
  <si>
    <t>HCH Year</t>
  </si>
  <si>
    <t>Time previously used</t>
  </si>
  <si>
    <t>Time required for GP Triage</t>
  </si>
  <si>
    <t>Change in GP time</t>
  </si>
  <si>
    <t>Change in nurse time</t>
  </si>
  <si>
    <t>Time for new appointments</t>
  </si>
  <si>
    <t>Net change in GP Time</t>
  </si>
  <si>
    <t>Net change in Nurse Time</t>
  </si>
  <si>
    <t>Additional Reception time to support GP Triage</t>
  </si>
  <si>
    <t>Additional time to support GP Triage</t>
  </si>
  <si>
    <t>Net change in Reception Time</t>
  </si>
  <si>
    <t>Costs</t>
  </si>
  <si>
    <t>Total Huddles per year</t>
  </si>
  <si>
    <t>#</t>
  </si>
  <si>
    <t>Use either % of number</t>
  </si>
  <si>
    <t>Changes in Administration Time</t>
  </si>
  <si>
    <t>Change in Administration time</t>
  </si>
  <si>
    <t>Change in time</t>
  </si>
  <si>
    <t>Length of MDT in minutes</t>
  </si>
  <si>
    <t>This additional resource could be preparing for the meeting, chairing the meeting, taking minutes etc</t>
  </si>
  <si>
    <t>Task to be reallocated</t>
  </si>
  <si>
    <t>Hours per week for Nurses</t>
  </si>
  <si>
    <t>Total Hours per Week</t>
  </si>
  <si>
    <t>HCA Time created</t>
  </si>
  <si>
    <t>HCA time utilised</t>
  </si>
  <si>
    <t>Net change in HCA time</t>
  </si>
  <si>
    <t>Nursing time released</t>
  </si>
  <si>
    <t>Hours per week for new HCAs</t>
  </si>
  <si>
    <t>Hours per week for existing HCAs</t>
  </si>
  <si>
    <t>Population Revenue</t>
  </si>
  <si>
    <t>Total Operational Revenue</t>
  </si>
  <si>
    <t>Clinical Staff</t>
  </si>
  <si>
    <t>Nurses</t>
  </si>
  <si>
    <t>Total Clinical Staff</t>
  </si>
  <si>
    <t>Clinical Suplies</t>
  </si>
  <si>
    <t>Total Direct Costs</t>
  </si>
  <si>
    <t>Gross Profit</t>
  </si>
  <si>
    <t>Admin Staff</t>
  </si>
  <si>
    <t>Total Overheads</t>
  </si>
  <si>
    <t>Operational Profit</t>
  </si>
  <si>
    <t>Other Expenses</t>
  </si>
  <si>
    <t>Net Profit Before Tax</t>
  </si>
  <si>
    <t>End Date</t>
  </si>
  <si>
    <t>End Date of health Care Home Funding</t>
  </si>
  <si>
    <t>HCH year</t>
  </si>
  <si>
    <t>Variance from Current</t>
  </si>
  <si>
    <t>HCH Capitation Funding - Implementation</t>
  </si>
  <si>
    <t>HCH Capitation Funding - At Risk</t>
  </si>
  <si>
    <t>Base</t>
  </si>
  <si>
    <t>Administration</t>
  </si>
  <si>
    <t>Other Variable Overheads</t>
  </si>
  <si>
    <t>Variable overheads</t>
  </si>
  <si>
    <t>Fixed Overheads</t>
  </si>
  <si>
    <t>Type</t>
  </si>
  <si>
    <t>Variable</t>
  </si>
  <si>
    <t>Fixed</t>
  </si>
  <si>
    <t>Activity</t>
  </si>
  <si>
    <t>Direct Cost</t>
  </si>
  <si>
    <t>Overhead</t>
  </si>
  <si>
    <t>Operating Revenue</t>
  </si>
  <si>
    <t>Account</t>
  </si>
  <si>
    <t>GP Cost</t>
  </si>
  <si>
    <t>Nurse Cost</t>
  </si>
  <si>
    <t>HCA Cost</t>
  </si>
  <si>
    <t>Admin Cost</t>
  </si>
  <si>
    <t>Total Variable Overheads</t>
  </si>
  <si>
    <t>Other (staff release for training and implementation activity)</t>
  </si>
  <si>
    <t>Total Expenses change</t>
  </si>
  <si>
    <t>Net Time Changes</t>
  </si>
  <si>
    <t>Annual change in minutes</t>
  </si>
  <si>
    <t>Approximate cost per minute</t>
  </si>
  <si>
    <t>Approximate annual cost change</t>
  </si>
  <si>
    <t>Net Profit Changes</t>
  </si>
  <si>
    <t>Net cost of time recovered</t>
  </si>
  <si>
    <t>Adjusted net profit before tax</t>
  </si>
  <si>
    <t>Time Factored Profit</t>
  </si>
  <si>
    <t>Net Cost movement per year</t>
  </si>
  <si>
    <t>Year 1</t>
  </si>
  <si>
    <t>Year 2</t>
  </si>
  <si>
    <t>Year 3</t>
  </si>
  <si>
    <t>Year 4</t>
  </si>
  <si>
    <t>Community Engagement</t>
  </si>
  <si>
    <t>Integration</t>
  </si>
  <si>
    <t>Quality &amp; Safety</t>
  </si>
  <si>
    <t>Equity</t>
  </si>
  <si>
    <t>Patient Centered Appointments</t>
  </si>
  <si>
    <t>Clinical and administrative pre work</t>
  </si>
  <si>
    <t>This analysis for three levels of active use of the portal, being 20%, 40%, and 80%</t>
  </si>
  <si>
    <t>Active use means patients who are registered, activated, and are actively using the portal for services.</t>
  </si>
  <si>
    <t>This modelling uses Ministry of Health's Sapere analysis to determine the impact of portal.</t>
  </si>
  <si>
    <t>Practice Data</t>
  </si>
  <si>
    <t>Practice GP FTE (10 sessions)</t>
  </si>
  <si>
    <t>Practice GP FTE (based on 9 sessions)</t>
  </si>
  <si>
    <t>Practice GP FTE (based on 10 sessions)</t>
  </si>
  <si>
    <t>GP FTE (enter EITHER option, not both)</t>
  </si>
  <si>
    <t>Annual leave weeks in annual FTE</t>
  </si>
  <si>
    <t>First year costs</t>
  </si>
  <si>
    <t>Total Nurse time change</t>
  </si>
  <si>
    <t>Total HCA time change</t>
  </si>
  <si>
    <t>Total Admin time change</t>
  </si>
  <si>
    <t>Extended hours worked per week</t>
  </si>
  <si>
    <t>Weeks of extended hours per year</t>
  </si>
  <si>
    <t>Additional variable costs per year</t>
  </si>
  <si>
    <t>This approach assumes that staff will work the same hours but at different times ot achieve the extended hours required</t>
  </si>
  <si>
    <t>This is only for new costs. Increased existing costs are incorporated into the additional variable costs.</t>
  </si>
  <si>
    <t>Consults</t>
  </si>
  <si>
    <t>Revenue Forgone</t>
  </si>
  <si>
    <t>Staff Release Time for HCH</t>
  </si>
  <si>
    <t>Click here for instructions on how to enter this information</t>
  </si>
  <si>
    <t>Starting from the top, identify the first line within your P&amp;L which isn't a total.</t>
  </si>
  <si>
    <t>Enter the name of this line into the Account column.</t>
  </si>
  <si>
    <t>Enter the amount of the line into the Amount column.</t>
  </si>
  <si>
    <t>In the Type column, from the dropdown select the option which best reflects that line</t>
  </si>
  <si>
    <t>In the Activity column, from the dropdown select the option which best reflects that line.</t>
  </si>
  <si>
    <t>Instructions</t>
  </si>
  <si>
    <t>P&amp;L Information</t>
  </si>
  <si>
    <t>For costs, don't include staff costs. The time implications on staff are collated separately</t>
  </si>
  <si>
    <t>Co-pay</t>
  </si>
  <si>
    <t>Total Time</t>
  </si>
  <si>
    <t>Per Activity</t>
  </si>
  <si>
    <t>Number of Activities</t>
  </si>
  <si>
    <t>GP Time</t>
  </si>
  <si>
    <t>Nurse Time</t>
  </si>
  <si>
    <t>Revenue lost</t>
  </si>
  <si>
    <t>Net Time</t>
  </si>
  <si>
    <t>Net Revenue lost</t>
  </si>
  <si>
    <t>Potential Co-pay lost</t>
  </si>
  <si>
    <t>Recovered</t>
  </si>
  <si>
    <t>Cost of Existing Proactive Care (LTC etc) for these patients</t>
  </si>
  <si>
    <t># of these patients already receiving proactive care</t>
  </si>
  <si>
    <t>Funding required</t>
  </si>
  <si>
    <t>Implementation Payment</t>
  </si>
  <si>
    <t>Start date of changes (HCH start date if already started)</t>
  </si>
  <si>
    <t>Standard GP consult length (in minutes)</t>
  </si>
  <si>
    <t>Standard Nurse consult length (in minutes)</t>
  </si>
  <si>
    <t>GP Activity Revenue</t>
  </si>
  <si>
    <t>Consultations per year from GPs</t>
  </si>
  <si>
    <t>Only enter data into Blue cells</t>
  </si>
  <si>
    <t>Nurse Activity Revenue</t>
  </si>
  <si>
    <r>
      <t xml:space="preserve">If the value of the line changes when people </t>
    </r>
    <r>
      <rPr>
        <b/>
        <sz val="11"/>
        <color theme="1"/>
        <rFont val="Calibri"/>
        <family val="2"/>
        <scheme val="minor"/>
      </rPr>
      <t>provide</t>
    </r>
    <r>
      <rPr>
        <sz val="11"/>
        <color theme="1"/>
        <rFont val="Calibri"/>
        <family val="2"/>
        <scheme val="minor"/>
      </rPr>
      <t xml:space="preserve"> </t>
    </r>
    <r>
      <rPr>
        <b/>
        <sz val="11"/>
        <color theme="1"/>
        <rFont val="Calibri"/>
        <family val="2"/>
        <scheme val="minor"/>
      </rPr>
      <t>services,</t>
    </r>
    <r>
      <rPr>
        <sz val="11"/>
        <color theme="1"/>
        <rFont val="Calibri"/>
        <family val="2"/>
        <scheme val="minor"/>
      </rPr>
      <t xml:space="preserve"> it is likely variable.</t>
    </r>
  </si>
  <si>
    <t>If the value of the line is largely unaffected by providing services, it is likely fixed.</t>
  </si>
  <si>
    <t>Changes in Nurse Practitioner Time</t>
  </si>
  <si>
    <t>Total Nurse Practitioner time change</t>
  </si>
  <si>
    <t>YOC</t>
  </si>
  <si>
    <t>Enter either % or number of YOC plans to be completed</t>
  </si>
  <si>
    <t>Increase in YOC Plans required</t>
  </si>
  <si>
    <t>Do you want to reflect YOC in the model summary?</t>
  </si>
  <si>
    <t>Cost of Average YOC plans</t>
  </si>
  <si>
    <t>Net change in time and funding for YOC</t>
  </si>
  <si>
    <t># of patients needing YOC plans</t>
  </si>
  <si>
    <t>Average MDT Meetings per month</t>
  </si>
  <si>
    <t>Additional Resource per meeting</t>
  </si>
  <si>
    <t>Patients to be discussed per MDT</t>
  </si>
  <si>
    <t># of Huddles a fulltime GP would attend per week</t>
  </si>
  <si>
    <t>Length of GP Triage Call in minutes</t>
  </si>
  <si>
    <t>Reallocation of tasks</t>
  </si>
  <si>
    <t>Current Portal Activation %</t>
  </si>
  <si>
    <t>Target Portal Activation %</t>
  </si>
  <si>
    <t>Expected months to achieve target from start date</t>
  </si>
  <si>
    <t>Additional labour cost</t>
  </si>
  <si>
    <t>Additional rate for later hours</t>
  </si>
  <si>
    <t>% increase in cost for non-standard hours</t>
  </si>
  <si>
    <t>Annual Implementation Payment per ESU</t>
  </si>
  <si>
    <t>GP Triage Revenue (ex GST)</t>
  </si>
  <si>
    <t>e.g. Restocking consult rooms</t>
  </si>
  <si>
    <t>Other HCH expenses not counted elsewhere</t>
  </si>
  <si>
    <t>Desciption</t>
  </si>
  <si>
    <t>Ongoing costs</t>
  </si>
  <si>
    <t>Net Profit</t>
  </si>
  <si>
    <t>Total</t>
  </si>
  <si>
    <t>Change in Revenue</t>
  </si>
  <si>
    <t>Change in Expenses</t>
  </si>
  <si>
    <t>FTE Attending</t>
  </si>
  <si>
    <t>MDT Meetings</t>
  </si>
  <si>
    <t>Year</t>
  </si>
  <si>
    <t># of GP Triage sessions on Saturday</t>
  </si>
  <si>
    <t># of GP Triage sessions on Sunday</t>
  </si>
  <si>
    <t>Resolved on the phone</t>
  </si>
  <si>
    <t>External provider @ $100 per hour</t>
  </si>
  <si>
    <t>Additional HCA capacity (mins)</t>
  </si>
  <si>
    <t>Various tasks moved from nurse to HCA</t>
  </si>
  <si>
    <t>Yes</t>
  </si>
  <si>
    <t>Development of care plan with patient + 15 min paperwork</t>
  </si>
  <si>
    <t>GP consults</t>
  </si>
  <si>
    <t>Nurse consults</t>
  </si>
  <si>
    <t>Brief contacts (e.g. phone call)</t>
  </si>
  <si>
    <t>Consult</t>
  </si>
  <si>
    <t># of care plans already developed</t>
  </si>
  <si>
    <t>Net co-pay change</t>
  </si>
  <si>
    <t>https://www.erlang.com/calculator/call/</t>
  </si>
  <si>
    <t>Hours</t>
  </si>
  <si>
    <t>Ongoing annual release time</t>
  </si>
  <si>
    <t>First year one-off release time</t>
  </si>
  <si>
    <t>Ongoing review and improvement of services</t>
  </si>
  <si>
    <t>Additional nurse revenue</t>
  </si>
  <si>
    <t>Additional/foregone revenue</t>
  </si>
  <si>
    <t>Year 1 only</t>
  </si>
  <si>
    <t>Change in Existing Revenue</t>
  </si>
  <si>
    <t>HCH Funding - Base</t>
  </si>
  <si>
    <t>HCH Funding - High Needs</t>
  </si>
  <si>
    <t>Copay</t>
  </si>
  <si>
    <t>Salaries - GP</t>
  </si>
  <si>
    <t>Clinical supplies</t>
  </si>
  <si>
    <t>Expenses fixed e.g. rent</t>
  </si>
  <si>
    <t>whiteboard</t>
  </si>
  <si>
    <t>marker pens</t>
  </si>
  <si>
    <t xml:space="preserve">Call reporting </t>
  </si>
  <si>
    <t>https://www.callcentrehelper.com/tools/erlang-calculator/</t>
  </si>
  <si>
    <t>New HCH Funding</t>
  </si>
  <si>
    <t>Capitation Funding</t>
  </si>
  <si>
    <t>Salaries - HCA</t>
  </si>
  <si>
    <t>Salaries - Nurse</t>
  </si>
  <si>
    <t>Salaries - Admin</t>
  </si>
  <si>
    <t>Other variable expenses e.g. electricity, repairs &amp; maintainance etc</t>
  </si>
  <si>
    <t>GP Telephone consult</t>
  </si>
  <si>
    <t>OR</t>
  </si>
  <si>
    <t>Annual at Risk Payment per ESU</t>
  </si>
  <si>
    <t>At Risk Payment</t>
  </si>
  <si>
    <t>Eligible population 18+ (only included to provide a sanity check of target)</t>
  </si>
  <si>
    <t>For a guide on how may staff might be needed to answer the phone use one of these calculators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</si>
</sst>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3">
    <numFmt numFmtId="44" formatCode="_-&quot;$&quot;* #,##0.00_-;\-&quot;$&quot;* #,##0.00_-;_-&quot;$&quot;* &quot;-&quot;??_-;_-@_-"/>
    <numFmt numFmtId="43" formatCode="_-* #,##0.00_-;\-* #,##0.00_-;_-* &quot;-&quot;??_-;_-@_-"/>
    <numFmt numFmtId="164" formatCode="_-* #,##0_-;\-* #,##0_-;_-* &quot;-&quot;??_-;_-@_-"/>
    <numFmt numFmtId="165" formatCode="_-* #,##0_-;[Red]\(#,##0\);_-* &quot;-&quot;??_-;_-@_-"/>
    <numFmt numFmtId="166" formatCode="_-* #,##0.00_-;\(#,##0.00\)_-;_-* &quot;-&quot;??_-;_-@_-"/>
    <numFmt numFmtId="167" formatCode="0;[Red]0"/>
    <numFmt numFmtId="168" formatCode="#,##0;[Red]#,##0"/>
    <numFmt numFmtId="169" formatCode="#,##0.00_-;\(#,##0.00\)_-;_-* &quot;-&quot;??_-;_-@_-"/>
    <numFmt numFmtId="170" formatCode="#,##0.00000_-;\(#,##0.00000\)_-;_-* &quot;-&quot;??_-;_-@_-"/>
    <numFmt numFmtId="171" formatCode="_-* #,##0_-;[Red]\(#,##0\)\ ;_-* &quot;-&quot;??_-;_-@_-"/>
    <numFmt numFmtId="172" formatCode="0.0;[Red]0.0"/>
    <numFmt numFmtId="173" formatCode="_-* #,##0_-;\(#,##0\);_-* &quot;-&quot;??_-;_-@_-"/>
    <numFmt numFmtId="174" formatCode="_-* #,##0_-;\(#,##0\)\ ;_-* &quot;-&quot;??_-;_-@_-"/>
    <numFmt numFmtId="175" formatCode="_-* #,##0.0_-;[Red]\(#,##0.0\);_-* &quot;-&quot;??_-;_-@_-"/>
    <numFmt numFmtId="176" formatCode="#,##0.0_-;[Red]\(#,##0.0\);_-* &quot;-&quot;??_-;_-@_-"/>
    <numFmt numFmtId="177" formatCode="#,##0_-;[Red]\(#,##0\);_-* &quot;-&quot;??_-;_-@_-"/>
    <numFmt numFmtId="178" formatCode="_-* #,##0.00_-;[Red]\(#,##0.00\)\ ;_-* &quot;-&quot;??_-;_-@_-"/>
    <numFmt numFmtId="179" formatCode="0_ ;\-0\ "/>
    <numFmt numFmtId="180" formatCode="0.000"/>
    <numFmt numFmtId="181" formatCode="0.0"/>
    <numFmt numFmtId="182" formatCode="&quot;$&quot;#,##0.00"/>
    <numFmt numFmtId="183" formatCode="#,##0_-;\(#,##0\)_-;_-* &quot;-&quot;??_-;_-@_-"/>
    <numFmt numFmtId="184" formatCode="0.0%"/>
  </numFmts>
  <fonts count="14" x14ac:knownFonts="1">
    <font>
      <sz val="11"/>
      <color theme="1"/>
      <name val="Calibri"/>
      <family val="2"/>
      <scheme val="minor"/>
    </font>
    <font>
      <sz val="11"/>
      <color theme="1"/>
      <name val="Calibri"/>
      <family val="2"/>
      <scheme val="minor"/>
    </font>
    <font>
      <b/>
      <sz val="11"/>
      <color theme="1"/>
      <name val="Calibri"/>
      <family val="2"/>
      <scheme val="minor"/>
    </font>
    <font>
      <b/>
      <sz val="11"/>
      <color rgb="FF0000FF"/>
      <name val="Calibri"/>
      <family val="2"/>
      <scheme val="minor"/>
    </font>
    <font>
      <sz val="11"/>
      <name val="Calibri"/>
      <family val="2"/>
      <scheme val="minor"/>
    </font>
    <font>
      <sz val="9"/>
      <color theme="1"/>
      <name val="Calibri"/>
      <family val="2"/>
      <scheme val="minor"/>
    </font>
    <font>
      <u/>
      <sz val="11"/>
      <color theme="10"/>
      <name val="Calibri"/>
      <family val="2"/>
      <scheme val="minor"/>
    </font>
    <font>
      <sz val="10"/>
      <color theme="1"/>
      <name val="Arial"/>
      <family val="2"/>
    </font>
    <font>
      <b/>
      <sz val="12"/>
      <color theme="1"/>
      <name val="Calibri"/>
      <family val="2"/>
      <scheme val="minor"/>
    </font>
    <font>
      <sz val="9"/>
      <color indexed="81"/>
      <name val="Tahoma"/>
      <family val="2"/>
    </font>
    <font>
      <i/>
      <sz val="10"/>
      <color theme="0" tint="-0.499984740745262"/>
      <name val="Calibri"/>
      <family val="2"/>
      <scheme val="minor"/>
    </font>
    <font>
      <b/>
      <sz val="11"/>
      <color theme="0"/>
      <name val="Calibri"/>
      <family val="2"/>
      <scheme val="minor"/>
    </font>
    <font>
      <sz val="8"/>
      <name val="Calibri"/>
      <family val="2"/>
      <scheme val="minor"/>
    </font>
    <font>
      <b/>
      <sz val="11"/>
      <name val="Calibri"/>
      <family val="2"/>
      <scheme val="minor"/>
    </font>
  </fonts>
  <fills count="12">
    <fill>
      <patternFill patternType="none"/>
    </fill>
    <fill>
      <patternFill patternType="gray125"/>
    </fill>
    <fill>
      <patternFill patternType="solid">
        <fgColor theme="0" tint="-0.249977111117893"/>
        <bgColor indexed="64"/>
      </patternFill>
    </fill>
    <fill>
      <patternFill patternType="solid">
        <fgColor theme="8" tint="0.59999389629810485"/>
        <bgColor indexed="64"/>
      </patternFill>
    </fill>
    <fill>
      <patternFill patternType="solid">
        <fgColor rgb="FFBFBFBF"/>
        <bgColor indexed="64"/>
      </patternFill>
    </fill>
    <fill>
      <patternFill patternType="solid">
        <fgColor rgb="FFBDD7EE"/>
        <bgColor indexed="64"/>
      </patternFill>
    </fill>
    <fill>
      <patternFill patternType="solid">
        <fgColor theme="5" tint="0.79998168889431442"/>
        <bgColor indexed="64"/>
      </patternFill>
    </fill>
    <fill>
      <patternFill patternType="solid">
        <fgColor rgb="FFFFFF00"/>
        <bgColor indexed="64"/>
      </patternFill>
    </fill>
    <fill>
      <patternFill patternType="solid">
        <fgColor theme="0"/>
        <bgColor indexed="64"/>
      </patternFill>
    </fill>
    <fill>
      <patternFill patternType="solid">
        <fgColor theme="4" tint="-0.249977111117893"/>
        <bgColor indexed="64"/>
      </patternFill>
    </fill>
    <fill>
      <patternFill patternType="solid">
        <fgColor theme="4" tint="0.79998168889431442"/>
        <bgColor indexed="64"/>
      </patternFill>
    </fill>
    <fill>
      <patternFill patternType="solid">
        <fgColor theme="4" tint="0.59999389629810485"/>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theme="0" tint="-4.9989318521683403E-2"/>
      </left>
      <right style="thin">
        <color theme="0" tint="-4.9989318521683403E-2"/>
      </right>
      <top/>
      <bottom/>
      <diagonal/>
    </border>
    <border>
      <left style="thin">
        <color theme="0" tint="-4.9989318521683403E-2"/>
      </left>
      <right/>
      <top/>
      <bottom/>
      <diagonal/>
    </border>
    <border>
      <left/>
      <right style="thin">
        <color theme="0" tint="-4.9989318521683403E-2"/>
      </right>
      <top/>
      <bottom/>
      <diagonal/>
    </border>
    <border>
      <left style="thin">
        <color theme="0" tint="-4.9989318521683403E-2"/>
      </left>
      <right/>
      <top style="thin">
        <color theme="0" tint="-4.9989318521683403E-2"/>
      </top>
      <bottom style="thin">
        <color theme="0" tint="-4.9989318521683403E-2"/>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
      <left style="thin">
        <color theme="0" tint="-4.9989318521683403E-2"/>
      </left>
      <right style="thin">
        <color theme="0" tint="-4.9989318521683403E-2"/>
      </right>
      <top style="thin">
        <color theme="0" tint="-4.9989318521683403E-2"/>
      </top>
      <bottom/>
      <diagonal/>
    </border>
    <border>
      <left/>
      <right/>
      <top style="thin">
        <color theme="0" tint="-4.9989318521683403E-2"/>
      </top>
      <bottom style="thin">
        <color theme="0" tint="-4.9989318521683403E-2"/>
      </bottom>
      <diagonal/>
    </border>
    <border>
      <left/>
      <right style="thin">
        <color theme="0" tint="-4.9989318521683403E-2"/>
      </right>
      <top style="thin">
        <color theme="0" tint="-4.9989318521683403E-2"/>
      </top>
      <bottom style="thin">
        <color theme="0" tint="-4.9989318521683403E-2"/>
      </bottom>
      <diagonal/>
    </border>
    <border>
      <left style="medium">
        <color theme="0" tint="-4.9989318521683403E-2"/>
      </left>
      <right/>
      <top/>
      <bottom/>
      <diagonal/>
    </border>
    <border>
      <left/>
      <right style="medium">
        <color theme="0" tint="-4.9989318521683403E-2"/>
      </right>
      <top/>
      <bottom/>
      <diagonal/>
    </border>
    <border>
      <left style="medium">
        <color theme="0" tint="-4.9989318521683403E-2"/>
      </left>
      <right/>
      <top style="thin">
        <color theme="0" tint="-4.9989318521683403E-2"/>
      </top>
      <bottom style="thin">
        <color theme="0" tint="-4.9989318521683403E-2"/>
      </bottom>
      <diagonal/>
    </border>
    <border>
      <left style="thin">
        <color theme="0" tint="-4.9989318521683403E-2"/>
      </left>
      <right style="medium">
        <color theme="0" tint="-4.9989318521683403E-2"/>
      </right>
      <top style="thin">
        <color theme="0" tint="-4.9989318521683403E-2"/>
      </top>
      <bottom style="thin">
        <color theme="0" tint="-4.9989318521683403E-2"/>
      </bottom>
      <diagonal/>
    </border>
    <border>
      <left style="thin">
        <color theme="0" tint="-4.9989318521683403E-2"/>
      </left>
      <right style="medium">
        <color theme="0" tint="-4.9989318521683403E-2"/>
      </right>
      <top/>
      <bottom/>
      <diagonal/>
    </border>
    <border>
      <left style="medium">
        <color theme="0" tint="-4.9989318521683403E-2"/>
      </left>
      <right style="thin">
        <color theme="0" tint="-4.9989318521683403E-2"/>
      </right>
      <top style="thin">
        <color theme="0" tint="-4.9989318521683403E-2"/>
      </top>
      <bottom style="thin">
        <color theme="0" tint="-4.9989318521683403E-2"/>
      </bottom>
      <diagonal/>
    </border>
    <border>
      <left style="medium">
        <color theme="0" tint="-4.9989318521683403E-2"/>
      </left>
      <right style="thin">
        <color theme="0" tint="-4.9989318521683403E-2"/>
      </right>
      <top/>
      <bottom/>
      <diagonal/>
    </border>
  </borders>
  <cellStyleXfs count="5">
    <xf numFmtId="0" fontId="0" fillId="0" borderId="0"/>
    <xf numFmtId="43" fontId="1" fillId="0" borderId="0" applyFont="0" applyFill="0" applyBorder="0" applyAlignment="0" applyProtection="0"/>
    <xf numFmtId="9" fontId="1" fillId="0" borderId="0" applyFont="0" applyFill="0" applyBorder="0" applyAlignment="0" applyProtection="0"/>
    <xf numFmtId="0" fontId="6" fillId="0" borderId="0" applyNumberFormat="0" applyFill="0" applyBorder="0" applyAlignment="0" applyProtection="0"/>
    <xf numFmtId="44" fontId="1" fillId="0" borderId="0" applyFont="0" applyFill="0" applyBorder="0" applyAlignment="0" applyProtection="0"/>
  </cellStyleXfs>
  <cellXfs count="230">
    <xf numFmtId="0" fontId="0" fillId="0" borderId="0" xfId="0"/>
    <xf numFmtId="0" fontId="0" fillId="2" borderId="0" xfId="0" applyFill="1"/>
    <xf numFmtId="0" fontId="0" fillId="0" borderId="0" xfId="0" applyAlignment="1">
      <alignment vertical="center"/>
    </xf>
    <xf numFmtId="0" fontId="0" fillId="2" borderId="0" xfId="0" applyFill="1" applyAlignment="1">
      <alignment vertical="center"/>
    </xf>
    <xf numFmtId="0" fontId="0" fillId="2" borderId="0" xfId="0" applyFill="1" applyAlignment="1">
      <alignment horizontal="left" vertical="center"/>
    </xf>
    <xf numFmtId="0" fontId="0" fillId="2" borderId="0" xfId="0" applyFill="1" applyAlignment="1">
      <alignment horizontal="center" vertical="center"/>
    </xf>
    <xf numFmtId="164" fontId="4" fillId="0" borderId="1" xfId="1" applyNumberFormat="1" applyFont="1" applyFill="1" applyBorder="1" applyAlignment="1">
      <alignment horizontal="center" vertical="center"/>
    </xf>
    <xf numFmtId="0" fontId="0" fillId="2" borderId="0" xfId="0" applyFill="1" applyBorder="1" applyAlignment="1">
      <alignment vertical="center"/>
    </xf>
    <xf numFmtId="0" fontId="0" fillId="0" borderId="0" xfId="0" applyBorder="1" applyAlignment="1">
      <alignment vertical="center"/>
    </xf>
    <xf numFmtId="0" fontId="2" fillId="2" borderId="0" xfId="0" applyFont="1" applyFill="1" applyBorder="1" applyAlignment="1">
      <alignment vertical="center"/>
    </xf>
    <xf numFmtId="43" fontId="2" fillId="2" borderId="0" xfId="1" applyFont="1" applyFill="1" applyBorder="1" applyAlignment="1">
      <alignment vertical="center"/>
    </xf>
    <xf numFmtId="0" fontId="0" fillId="2" borderId="0" xfId="0" applyFill="1" applyBorder="1" applyAlignment="1">
      <alignment horizontal="center" vertical="center"/>
    </xf>
    <xf numFmtId="9" fontId="4" fillId="0" borderId="1" xfId="2" applyFont="1" applyFill="1" applyBorder="1" applyAlignment="1">
      <alignment horizontal="center" vertical="center"/>
    </xf>
    <xf numFmtId="43" fontId="0" fillId="2" borderId="0" xfId="0" applyNumberFormat="1" applyFill="1" applyAlignment="1">
      <alignment vertical="center"/>
    </xf>
    <xf numFmtId="1" fontId="4" fillId="0" borderId="2" xfId="2" applyNumberFormat="1" applyFont="1" applyFill="1" applyBorder="1" applyAlignment="1">
      <alignment horizontal="center" vertical="center"/>
    </xf>
    <xf numFmtId="1" fontId="0" fillId="0" borderId="1" xfId="1" applyNumberFormat="1" applyFont="1" applyBorder="1" applyAlignment="1">
      <alignment horizontal="center" vertical="center"/>
    </xf>
    <xf numFmtId="49" fontId="0" fillId="2" borderId="0" xfId="0" applyNumberFormat="1" applyFont="1" applyFill="1" applyBorder="1" applyAlignment="1">
      <alignment horizontal="left" vertical="center"/>
    </xf>
    <xf numFmtId="49" fontId="0" fillId="2" borderId="0" xfId="0" applyNumberFormat="1" applyFont="1" applyFill="1" applyAlignment="1">
      <alignment horizontal="left" vertical="center"/>
    </xf>
    <xf numFmtId="43" fontId="0" fillId="0" borderId="1" xfId="1" applyNumberFormat="1" applyFont="1" applyFill="1" applyBorder="1" applyAlignment="1">
      <alignment horizontal="left" vertical="center"/>
    </xf>
    <xf numFmtId="165" fontId="0" fillId="0" borderId="1" xfId="0" applyNumberFormat="1" applyFill="1" applyBorder="1" applyAlignment="1">
      <alignment vertical="center"/>
    </xf>
    <xf numFmtId="0" fontId="3" fillId="2" borderId="0" xfId="0" applyFont="1" applyFill="1" applyBorder="1" applyAlignment="1">
      <alignment vertical="center"/>
    </xf>
    <xf numFmtId="164" fontId="0" fillId="2" borderId="0" xfId="0" applyNumberFormat="1" applyFill="1" applyBorder="1" applyAlignment="1">
      <alignment horizontal="center" vertical="center"/>
    </xf>
    <xf numFmtId="1" fontId="0" fillId="0" borderId="1" xfId="1" applyNumberFormat="1" applyFont="1" applyFill="1" applyBorder="1" applyAlignment="1">
      <alignment horizontal="center" vertical="center"/>
    </xf>
    <xf numFmtId="0" fontId="0" fillId="3" borderId="1" xfId="0" applyFill="1" applyBorder="1" applyAlignment="1" applyProtection="1">
      <alignment horizontal="center" vertical="center"/>
      <protection locked="0"/>
    </xf>
    <xf numFmtId="9" fontId="0" fillId="3" borderId="1" xfId="2" applyFont="1" applyFill="1" applyBorder="1" applyAlignment="1" applyProtection="1">
      <alignment horizontal="center" vertical="center"/>
      <protection locked="0"/>
    </xf>
    <xf numFmtId="9" fontId="4" fillId="3" borderId="3" xfId="2" applyFont="1" applyFill="1" applyBorder="1" applyAlignment="1" applyProtection="1">
      <alignment horizontal="center" vertical="center"/>
      <protection locked="0"/>
    </xf>
    <xf numFmtId="9" fontId="4" fillId="3" borderId="1" xfId="2" applyFont="1" applyFill="1" applyBorder="1" applyAlignment="1" applyProtection="1">
      <alignment horizontal="center" vertical="center"/>
      <protection locked="0"/>
    </xf>
    <xf numFmtId="165" fontId="4" fillId="3" borderId="1" xfId="0" applyNumberFormat="1" applyFont="1" applyFill="1" applyBorder="1" applyAlignment="1" applyProtection="1">
      <alignment vertical="center"/>
      <protection locked="0"/>
    </xf>
    <xf numFmtId="165" fontId="2" fillId="0" borderId="1" xfId="0" applyNumberFormat="1" applyFont="1" applyFill="1" applyBorder="1" applyAlignment="1">
      <alignment vertical="center"/>
    </xf>
    <xf numFmtId="165" fontId="0" fillId="0" borderId="1" xfId="0" applyNumberFormat="1" applyFont="1" applyFill="1" applyBorder="1" applyAlignment="1">
      <alignment vertical="center"/>
    </xf>
    <xf numFmtId="43" fontId="5" fillId="0" borderId="1" xfId="1" applyNumberFormat="1" applyFont="1" applyFill="1" applyBorder="1" applyAlignment="1">
      <alignment horizontal="left" vertical="center"/>
    </xf>
    <xf numFmtId="43" fontId="5" fillId="0" borderId="1" xfId="1" applyNumberFormat="1" applyFont="1" applyFill="1" applyBorder="1" applyAlignment="1">
      <alignment horizontal="right" vertical="center"/>
    </xf>
    <xf numFmtId="43" fontId="0" fillId="3" borderId="1" xfId="1" applyNumberFormat="1" applyFont="1" applyFill="1" applyBorder="1" applyAlignment="1" applyProtection="1">
      <alignment horizontal="left" vertical="center"/>
      <protection locked="0"/>
    </xf>
    <xf numFmtId="0" fontId="6" fillId="2" borderId="0" xfId="3" applyFill="1" applyAlignment="1">
      <alignment horizontal="center" vertical="center"/>
    </xf>
    <xf numFmtId="43" fontId="0" fillId="2" borderId="0" xfId="1" applyFont="1" applyFill="1"/>
    <xf numFmtId="0" fontId="0" fillId="0" borderId="1" xfId="0" applyFill="1" applyBorder="1" applyAlignment="1">
      <alignment horizontal="center" vertical="center"/>
    </xf>
    <xf numFmtId="0" fontId="0" fillId="0" borderId="1" xfId="0" applyFill="1" applyBorder="1" applyAlignment="1">
      <alignment horizontal="center" vertical="center"/>
    </xf>
    <xf numFmtId="1" fontId="4" fillId="0" borderId="1" xfId="1" applyNumberFormat="1" applyFont="1" applyFill="1" applyBorder="1" applyAlignment="1">
      <alignment horizontal="center" vertical="center"/>
    </xf>
    <xf numFmtId="43" fontId="0" fillId="0" borderId="1" xfId="1" applyNumberFormat="1" applyFont="1" applyFill="1" applyBorder="1" applyAlignment="1">
      <alignment horizontal="left" vertical="center" indent="1"/>
    </xf>
    <xf numFmtId="0" fontId="0" fillId="2" borderId="0" xfId="0" applyFill="1" applyBorder="1" applyAlignment="1">
      <alignment horizontal="left" vertical="center" indent="1"/>
    </xf>
    <xf numFmtId="49" fontId="0" fillId="2" borderId="0" xfId="0" applyNumberFormat="1" applyFont="1" applyFill="1" applyBorder="1" applyAlignment="1">
      <alignment horizontal="left" vertical="center" indent="1"/>
    </xf>
    <xf numFmtId="43" fontId="2" fillId="0" borderId="1" xfId="1" applyNumberFormat="1" applyFont="1" applyFill="1" applyBorder="1" applyAlignment="1">
      <alignment horizontal="left" vertical="center" indent="1"/>
    </xf>
    <xf numFmtId="0" fontId="0" fillId="2" borderId="0" xfId="0" applyFill="1" applyAlignment="1">
      <alignment horizontal="left" vertical="center" indent="1"/>
    </xf>
    <xf numFmtId="43" fontId="5" fillId="0" borderId="1" xfId="1" applyNumberFormat="1" applyFont="1" applyFill="1" applyBorder="1" applyAlignment="1">
      <alignment horizontal="left" vertical="center" indent="1"/>
    </xf>
    <xf numFmtId="43" fontId="0" fillId="3" borderId="1" xfId="1" applyNumberFormat="1" applyFont="1" applyFill="1" applyBorder="1" applyAlignment="1" applyProtection="1">
      <alignment horizontal="left" vertical="center" indent="1"/>
      <protection locked="0"/>
    </xf>
    <xf numFmtId="0" fontId="0" fillId="2" borderId="0" xfId="0" applyFill="1" applyAlignment="1">
      <alignment horizontal="left" indent="1"/>
    </xf>
    <xf numFmtId="14" fontId="0" fillId="3" borderId="1" xfId="0" applyNumberFormat="1" applyFill="1" applyBorder="1" applyAlignment="1" applyProtection="1">
      <alignment horizontal="center" vertical="center"/>
      <protection locked="0"/>
    </xf>
    <xf numFmtId="0" fontId="0" fillId="0" borderId="1" xfId="0" applyFill="1" applyBorder="1" applyAlignment="1" applyProtection="1">
      <alignment horizontal="center" vertical="center"/>
      <protection locked="0"/>
    </xf>
    <xf numFmtId="14" fontId="0" fillId="0" borderId="1" xfId="0" applyNumberFormat="1" applyFill="1" applyBorder="1" applyAlignment="1" applyProtection="1">
      <alignment horizontal="center" vertical="center"/>
      <protection locked="0"/>
    </xf>
    <xf numFmtId="0" fontId="0" fillId="4" borderId="0" xfId="0" applyFill="1" applyAlignment="1">
      <alignment vertical="center"/>
    </xf>
    <xf numFmtId="0" fontId="0" fillId="4" borderId="0" xfId="0" applyFill="1" applyBorder="1" applyAlignment="1">
      <alignment horizontal="center" vertical="center"/>
    </xf>
    <xf numFmtId="14" fontId="0" fillId="4" borderId="0" xfId="0" applyNumberFormat="1" applyFill="1" applyBorder="1" applyAlignment="1" applyProtection="1">
      <alignment horizontal="center" vertical="center"/>
      <protection locked="0"/>
    </xf>
    <xf numFmtId="0" fontId="0" fillId="4" borderId="0" xfId="0" applyFill="1" applyBorder="1" applyAlignment="1" applyProtection="1">
      <alignment horizontal="center" vertical="center"/>
      <protection locked="0"/>
    </xf>
    <xf numFmtId="0" fontId="0" fillId="0" borderId="1" xfId="0" applyBorder="1" applyAlignment="1">
      <alignment horizontal="center" vertical="center"/>
    </xf>
    <xf numFmtId="167" fontId="0" fillId="0" borderId="1" xfId="0" applyNumberFormat="1" applyFill="1" applyBorder="1" applyAlignment="1">
      <alignment horizontal="center" vertical="center"/>
    </xf>
    <xf numFmtId="3" fontId="0" fillId="0" borderId="1" xfId="0" applyNumberFormat="1" applyFill="1" applyBorder="1" applyAlignment="1" applyProtection="1">
      <alignment horizontal="center" vertical="center"/>
      <protection locked="0"/>
    </xf>
    <xf numFmtId="0" fontId="0" fillId="4" borderId="0" xfId="0" applyFill="1" applyAlignment="1">
      <alignment horizontal="left" vertical="center"/>
    </xf>
    <xf numFmtId="0" fontId="0" fillId="4" borderId="0" xfId="0" applyFill="1" applyAlignment="1">
      <alignment horizontal="center" vertical="center"/>
    </xf>
    <xf numFmtId="0" fontId="2" fillId="0" borderId="1" xfId="0" applyFont="1" applyBorder="1" applyAlignment="1">
      <alignment horizontal="left" vertical="center"/>
    </xf>
    <xf numFmtId="14" fontId="0" fillId="0" borderId="1" xfId="0" applyNumberFormat="1" applyFill="1" applyBorder="1" applyAlignment="1">
      <alignment vertical="center"/>
    </xf>
    <xf numFmtId="0" fontId="0" fillId="0" borderId="1" xfId="0" applyBorder="1" applyAlignment="1">
      <alignment horizontal="left" vertical="center"/>
    </xf>
    <xf numFmtId="166" fontId="7" fillId="4" borderId="0" xfId="1" applyNumberFormat="1" applyFont="1" applyFill="1" applyBorder="1" applyAlignment="1">
      <alignment vertical="center" wrapText="1"/>
    </xf>
    <xf numFmtId="0" fontId="7" fillId="4" borderId="0" xfId="0" applyFont="1" applyFill="1" applyAlignment="1">
      <alignment horizontal="left" vertical="center"/>
    </xf>
    <xf numFmtId="0" fontId="0" fillId="0" borderId="1" xfId="0" applyFill="1" applyBorder="1" applyAlignment="1">
      <alignment horizontal="left" vertical="center"/>
    </xf>
    <xf numFmtId="168" fontId="0" fillId="0" borderId="1" xfId="0" applyNumberFormat="1" applyFill="1" applyBorder="1" applyAlignment="1">
      <alignment horizontal="center" vertical="center"/>
    </xf>
    <xf numFmtId="9" fontId="0" fillId="0" borderId="1" xfId="2" applyFont="1" applyFill="1" applyBorder="1" applyAlignment="1" applyProtection="1">
      <alignment horizontal="center" vertical="center"/>
      <protection locked="0"/>
    </xf>
    <xf numFmtId="9" fontId="0" fillId="0" borderId="1" xfId="2" applyFont="1" applyFill="1" applyBorder="1" applyAlignment="1">
      <alignment horizontal="center" vertical="center"/>
    </xf>
    <xf numFmtId="169" fontId="0" fillId="0" borderId="1" xfId="0" applyNumberFormat="1" applyFill="1" applyBorder="1" applyAlignment="1">
      <alignment horizontal="center" vertical="center"/>
    </xf>
    <xf numFmtId="170" fontId="0" fillId="0" borderId="1" xfId="0" applyNumberFormat="1" applyFill="1" applyBorder="1" applyAlignment="1">
      <alignment horizontal="center" vertical="center"/>
    </xf>
    <xf numFmtId="0" fontId="0" fillId="0" borderId="1" xfId="0" applyFill="1" applyBorder="1" applyAlignment="1">
      <alignment horizontal="center" vertical="center"/>
    </xf>
    <xf numFmtId="43" fontId="0" fillId="0" borderId="1" xfId="1" applyNumberFormat="1" applyFont="1" applyFill="1" applyBorder="1" applyAlignment="1">
      <alignment horizontal="center" vertical="center"/>
    </xf>
    <xf numFmtId="0" fontId="7" fillId="0" borderId="1" xfId="0" applyFont="1" applyFill="1" applyBorder="1" applyAlignment="1">
      <alignment horizontal="center" vertical="center" wrapText="1"/>
    </xf>
    <xf numFmtId="0" fontId="7" fillId="0" borderId="1" xfId="0" applyNumberFormat="1" applyFont="1" applyFill="1" applyBorder="1" applyAlignment="1">
      <alignment horizontal="center" vertical="center" wrapText="1"/>
    </xf>
    <xf numFmtId="14" fontId="0" fillId="0" borderId="1" xfId="0" applyNumberFormat="1" applyFill="1" applyBorder="1" applyAlignment="1">
      <alignment horizontal="center" vertical="center"/>
    </xf>
    <xf numFmtId="0" fontId="2" fillId="4" borderId="0" xfId="0" applyFont="1" applyFill="1" applyAlignment="1">
      <alignment horizontal="center" vertical="center"/>
    </xf>
    <xf numFmtId="0" fontId="2" fillId="4" borderId="0" xfId="0" applyFont="1" applyFill="1" applyAlignment="1">
      <alignment vertical="center"/>
    </xf>
    <xf numFmtId="171" fontId="0" fillId="0" borderId="1" xfId="0" applyNumberFormat="1" applyFill="1" applyBorder="1" applyAlignment="1">
      <alignment vertical="center"/>
    </xf>
    <xf numFmtId="165" fontId="0" fillId="2" borderId="0" xfId="0" applyNumberFormat="1" applyFill="1" applyAlignment="1">
      <alignment vertical="center"/>
    </xf>
    <xf numFmtId="172" fontId="0" fillId="0" borderId="1" xfId="0" applyNumberFormat="1" applyFill="1" applyBorder="1" applyAlignment="1">
      <alignment horizontal="center" vertical="center"/>
    </xf>
    <xf numFmtId="173" fontId="0" fillId="0" borderId="1" xfId="0" applyNumberFormat="1" applyFill="1" applyBorder="1" applyAlignment="1">
      <alignment vertical="center"/>
    </xf>
    <xf numFmtId="174" fontId="0" fillId="0" borderId="1" xfId="0" applyNumberFormat="1" applyFill="1" applyBorder="1" applyAlignment="1">
      <alignment vertical="center"/>
    </xf>
    <xf numFmtId="176" fontId="0" fillId="5" borderId="1" xfId="0" applyNumberFormat="1" applyFill="1" applyBorder="1" applyAlignment="1">
      <alignment horizontal="center" vertical="center"/>
    </xf>
    <xf numFmtId="176" fontId="0" fillId="0" borderId="1" xfId="0" applyNumberFormat="1" applyFill="1" applyBorder="1" applyAlignment="1">
      <alignment horizontal="center" vertical="center"/>
    </xf>
    <xf numFmtId="177" fontId="0" fillId="0" borderId="1" xfId="0" applyNumberFormat="1" applyFill="1" applyBorder="1" applyAlignment="1">
      <alignment horizontal="center" vertical="center"/>
    </xf>
    <xf numFmtId="165" fontId="0" fillId="0" borderId="1" xfId="0" applyNumberFormat="1" applyFont="1" applyFill="1" applyBorder="1" applyAlignment="1">
      <alignment horizontal="left" vertical="center" indent="1"/>
    </xf>
    <xf numFmtId="165" fontId="0" fillId="0" borderId="1" xfId="0" applyNumberFormat="1" applyFont="1" applyFill="1" applyBorder="1" applyAlignment="1">
      <alignment horizontal="left" vertical="center" indent="2"/>
    </xf>
    <xf numFmtId="165" fontId="0" fillId="0" borderId="1" xfId="0" applyNumberFormat="1" applyFont="1" applyFill="1" applyBorder="1" applyAlignment="1">
      <alignment horizontal="left" vertical="center" indent="3"/>
    </xf>
    <xf numFmtId="0" fontId="0" fillId="0" borderId="1" xfId="0" applyFill="1" applyBorder="1" applyAlignment="1">
      <alignment horizontal="left" indent="2"/>
    </xf>
    <xf numFmtId="165" fontId="0" fillId="0" borderId="1" xfId="0" applyNumberFormat="1" applyFont="1" applyFill="1" applyBorder="1" applyAlignment="1">
      <alignment horizontal="left" vertical="center"/>
    </xf>
    <xf numFmtId="0" fontId="0" fillId="2" borderId="0" xfId="0" applyFill="1" applyAlignment="1">
      <alignment horizontal="left"/>
    </xf>
    <xf numFmtId="14" fontId="0" fillId="0" borderId="1" xfId="0" applyNumberFormat="1" applyFill="1" applyBorder="1" applyAlignment="1" applyProtection="1">
      <alignment horizontal="center" vertical="center"/>
    </xf>
    <xf numFmtId="0" fontId="7" fillId="0" borderId="5" xfId="0" applyNumberFormat="1" applyFont="1" applyFill="1" applyBorder="1" applyAlignment="1">
      <alignment horizontal="center" vertical="center" wrapText="1"/>
    </xf>
    <xf numFmtId="1" fontId="0" fillId="0" borderId="1" xfId="0" applyNumberFormat="1" applyFill="1" applyBorder="1" applyAlignment="1">
      <alignment horizontal="center" vertical="center"/>
    </xf>
    <xf numFmtId="0" fontId="0" fillId="5" borderId="1" xfId="0" applyFill="1" applyBorder="1" applyAlignment="1">
      <alignment horizontal="center" vertical="center"/>
    </xf>
    <xf numFmtId="43" fontId="0" fillId="0" borderId="1" xfId="1" applyNumberFormat="1" applyFont="1" applyFill="1" applyBorder="1" applyAlignment="1">
      <alignment horizontal="right" vertical="center"/>
    </xf>
    <xf numFmtId="0" fontId="0" fillId="4" borderId="0" xfId="0" applyFill="1" applyAlignment="1">
      <alignment horizontal="center"/>
    </xf>
    <xf numFmtId="0" fontId="0" fillId="0" borderId="1" xfId="0" applyFill="1" applyBorder="1" applyAlignment="1">
      <alignment horizontal="left" vertical="center" indent="2"/>
    </xf>
    <xf numFmtId="165" fontId="2" fillId="0" borderId="1" xfId="0" applyNumberFormat="1" applyFont="1" applyFill="1" applyBorder="1" applyAlignment="1">
      <alignment horizontal="left" vertical="center"/>
    </xf>
    <xf numFmtId="1" fontId="0" fillId="0" borderId="4" xfId="0" applyNumberFormat="1" applyFill="1" applyBorder="1" applyAlignment="1">
      <alignment horizontal="center" vertical="center"/>
    </xf>
    <xf numFmtId="0" fontId="0" fillId="0" borderId="1" xfId="0" applyFill="1" applyBorder="1" applyAlignment="1">
      <alignment horizontal="center" vertical="center"/>
    </xf>
    <xf numFmtId="0" fontId="0" fillId="0" borderId="1" xfId="0" applyFill="1" applyBorder="1" applyAlignment="1">
      <alignment horizontal="center" vertical="center"/>
    </xf>
    <xf numFmtId="178" fontId="0" fillId="0" borderId="1" xfId="0" applyNumberFormat="1" applyFill="1" applyBorder="1" applyAlignment="1">
      <alignment vertical="center"/>
    </xf>
    <xf numFmtId="0" fontId="0" fillId="0" borderId="1" xfId="0" applyFill="1" applyBorder="1" applyAlignment="1">
      <alignment horizontal="center" vertical="center"/>
    </xf>
    <xf numFmtId="0" fontId="0" fillId="0" borderId="1" xfId="0" applyFill="1" applyBorder="1" applyAlignment="1" applyProtection="1">
      <alignment horizontal="center" vertical="center"/>
    </xf>
    <xf numFmtId="3" fontId="0" fillId="0" borderId="1" xfId="0" applyNumberFormat="1" applyFill="1" applyBorder="1" applyAlignment="1" applyProtection="1">
      <alignment horizontal="center" vertical="center"/>
    </xf>
    <xf numFmtId="0" fontId="0" fillId="0" borderId="1" xfId="0" applyFill="1" applyBorder="1" applyAlignment="1">
      <alignment horizontal="left" vertical="center" indent="1"/>
    </xf>
    <xf numFmtId="43" fontId="0" fillId="0" borderId="1" xfId="1" applyFont="1" applyFill="1" applyBorder="1" applyAlignment="1">
      <alignment vertical="center"/>
    </xf>
    <xf numFmtId="43" fontId="0" fillId="0" borderId="1" xfId="0" applyNumberFormat="1" applyFill="1" applyBorder="1" applyAlignment="1">
      <alignment vertical="center"/>
    </xf>
    <xf numFmtId="0" fontId="0" fillId="0" borderId="1" xfId="0" applyFill="1" applyBorder="1" applyAlignment="1">
      <alignment horizontal="center" vertical="center"/>
    </xf>
    <xf numFmtId="179" fontId="0" fillId="0" borderId="1" xfId="1" applyNumberFormat="1" applyFont="1" applyFill="1" applyBorder="1" applyAlignment="1" applyProtection="1">
      <alignment horizontal="center" vertical="center"/>
    </xf>
    <xf numFmtId="0" fontId="0" fillId="5" borderId="1" xfId="0" applyFill="1" applyBorder="1" applyAlignment="1">
      <alignment horizontal="left" vertical="center" indent="1"/>
    </xf>
    <xf numFmtId="43" fontId="0" fillId="5" borderId="1" xfId="1" applyNumberFormat="1" applyFont="1" applyFill="1" applyBorder="1" applyAlignment="1" applyProtection="1">
      <alignment horizontal="left" vertical="center" indent="1"/>
      <protection locked="0"/>
    </xf>
    <xf numFmtId="165" fontId="4" fillId="5" borderId="1" xfId="0" applyNumberFormat="1" applyFont="1" applyFill="1" applyBorder="1" applyAlignment="1" applyProtection="1">
      <alignment vertical="center"/>
      <protection locked="0"/>
    </xf>
    <xf numFmtId="0" fontId="0" fillId="0" borderId="1" xfId="0" applyFill="1" applyBorder="1" applyAlignment="1">
      <alignment horizontal="center" vertical="center"/>
    </xf>
    <xf numFmtId="43" fontId="2" fillId="0" borderId="1" xfId="1" applyNumberFormat="1" applyFont="1" applyFill="1" applyBorder="1" applyAlignment="1">
      <alignment horizontal="left" vertical="center"/>
    </xf>
    <xf numFmtId="43" fontId="2" fillId="0" borderId="1" xfId="1" applyNumberFormat="1" applyFont="1" applyFill="1" applyBorder="1" applyAlignment="1">
      <alignment horizontal="left" vertical="center"/>
    </xf>
    <xf numFmtId="43" fontId="0" fillId="5" borderId="1" xfId="1" applyNumberFormat="1" applyFont="1" applyFill="1" applyBorder="1" applyAlignment="1" applyProtection="1">
      <alignment horizontal="left" vertical="center"/>
      <protection locked="0"/>
    </xf>
    <xf numFmtId="0" fontId="0" fillId="5" borderId="1" xfId="0" applyFill="1" applyBorder="1" applyAlignment="1" applyProtection="1">
      <alignment horizontal="center" vertical="center"/>
      <protection locked="0"/>
    </xf>
    <xf numFmtId="43" fontId="2" fillId="5" borderId="1" xfId="1" applyNumberFormat="1" applyFont="1" applyFill="1" applyBorder="1" applyAlignment="1" applyProtection="1">
      <alignment horizontal="left" vertical="center"/>
      <protection locked="0"/>
    </xf>
    <xf numFmtId="165" fontId="0" fillId="3" borderId="1" xfId="0" applyNumberFormat="1" applyFill="1" applyBorder="1" applyAlignment="1" applyProtection="1">
      <alignment vertical="center"/>
      <protection locked="0"/>
    </xf>
    <xf numFmtId="43" fontId="1" fillId="5" borderId="1" xfId="1" applyNumberFormat="1" applyFont="1" applyFill="1" applyBorder="1" applyAlignment="1" applyProtection="1">
      <alignment horizontal="left" vertical="center"/>
      <protection locked="0"/>
    </xf>
    <xf numFmtId="165" fontId="0" fillId="3" borderId="1" xfId="0" applyNumberFormat="1" applyFont="1" applyFill="1" applyBorder="1" applyAlignment="1" applyProtection="1">
      <alignment vertical="center"/>
      <protection locked="0"/>
    </xf>
    <xf numFmtId="0" fontId="0" fillId="3" borderId="1" xfId="2" applyNumberFormat="1" applyFont="1" applyFill="1" applyBorder="1" applyAlignment="1" applyProtection="1">
      <alignment horizontal="center" vertical="center"/>
      <protection locked="0"/>
    </xf>
    <xf numFmtId="181" fontId="0" fillId="0" borderId="1" xfId="0" applyNumberFormat="1" applyFill="1" applyBorder="1" applyAlignment="1" applyProtection="1">
      <alignment horizontal="center" vertical="center"/>
      <protection locked="0"/>
    </xf>
    <xf numFmtId="180" fontId="0" fillId="3" borderId="1" xfId="0" applyNumberFormat="1" applyFill="1" applyBorder="1" applyAlignment="1" applyProtection="1">
      <alignment horizontal="center" vertical="center"/>
      <protection locked="0"/>
    </xf>
    <xf numFmtId="14" fontId="0" fillId="5" borderId="1" xfId="0" applyNumberFormat="1" applyFill="1" applyBorder="1" applyAlignment="1" applyProtection="1">
      <alignment horizontal="center" vertical="center"/>
      <protection locked="0"/>
    </xf>
    <xf numFmtId="43" fontId="0" fillId="2" borderId="0" xfId="0" applyNumberFormat="1" applyFill="1" applyAlignment="1">
      <alignment horizontal="center" vertical="center"/>
    </xf>
    <xf numFmtId="164" fontId="0" fillId="0" borderId="1" xfId="0" applyNumberFormat="1" applyFill="1" applyBorder="1" applyAlignment="1">
      <alignment vertical="center"/>
    </xf>
    <xf numFmtId="43" fontId="2" fillId="0" borderId="1" xfId="1" applyNumberFormat="1" applyFont="1" applyFill="1" applyBorder="1" applyAlignment="1">
      <alignment horizontal="left" vertical="center"/>
    </xf>
    <xf numFmtId="43" fontId="10" fillId="8" borderId="1" xfId="1" applyNumberFormat="1" applyFont="1" applyFill="1" applyBorder="1" applyAlignment="1" applyProtection="1">
      <alignment horizontal="left" vertical="center"/>
      <protection locked="0"/>
    </xf>
    <xf numFmtId="176" fontId="10" fillId="8" borderId="1" xfId="0" applyNumberFormat="1" applyFont="1" applyFill="1" applyBorder="1" applyAlignment="1">
      <alignment horizontal="center" vertical="center"/>
    </xf>
    <xf numFmtId="183" fontId="0" fillId="0" borderId="1" xfId="0" applyNumberFormat="1" applyFill="1" applyBorder="1" applyAlignment="1">
      <alignment horizontal="center" vertical="center"/>
    </xf>
    <xf numFmtId="2" fontId="0" fillId="5" borderId="1" xfId="0" applyNumberFormat="1" applyFill="1" applyBorder="1" applyAlignment="1">
      <alignment horizontal="center" vertical="center"/>
    </xf>
    <xf numFmtId="0" fontId="2" fillId="2" borderId="0" xfId="0" applyFont="1" applyFill="1"/>
    <xf numFmtId="165" fontId="2" fillId="7" borderId="1" xfId="0" applyNumberFormat="1" applyFont="1" applyFill="1" applyBorder="1" applyAlignment="1">
      <alignment horizontal="left" vertical="center"/>
    </xf>
    <xf numFmtId="171" fontId="2" fillId="7" borderId="1" xfId="0" applyNumberFormat="1" applyFont="1" applyFill="1" applyBorder="1" applyAlignment="1">
      <alignment vertical="center"/>
    </xf>
    <xf numFmtId="43" fontId="0" fillId="0" borderId="1" xfId="1" applyNumberFormat="1" applyFont="1" applyFill="1" applyBorder="1" applyAlignment="1" applyProtection="1">
      <alignment horizontal="left" vertical="center" indent="1"/>
      <protection locked="0"/>
    </xf>
    <xf numFmtId="171" fontId="0" fillId="0" borderId="0" xfId="0" applyNumberFormat="1" applyFill="1" applyBorder="1" applyAlignment="1">
      <alignment vertical="center"/>
    </xf>
    <xf numFmtId="0" fontId="2" fillId="9" borderId="0" xfId="0" applyFont="1" applyFill="1"/>
    <xf numFmtId="0" fontId="11" fillId="9" borderId="0" xfId="0" applyFont="1" applyFill="1" applyAlignment="1">
      <alignment horizontal="centerContinuous"/>
    </xf>
    <xf numFmtId="0" fontId="13" fillId="11" borderId="0" xfId="0" applyFont="1" applyFill="1"/>
    <xf numFmtId="171" fontId="13" fillId="11" borderId="0" xfId="0" applyNumberFormat="1" applyFont="1" applyFill="1" applyBorder="1" applyAlignment="1">
      <alignment vertical="center"/>
    </xf>
    <xf numFmtId="171" fontId="0" fillId="0" borderId="0" xfId="0" applyNumberFormat="1"/>
    <xf numFmtId="0" fontId="11" fillId="9" borderId="0" xfId="0" applyFont="1" applyFill="1" applyAlignment="1">
      <alignment horizontal="right"/>
    </xf>
    <xf numFmtId="0" fontId="11" fillId="9" borderId="0" xfId="0" applyFont="1" applyFill="1" applyBorder="1" applyAlignment="1">
      <alignment horizontal="centerContinuous"/>
    </xf>
    <xf numFmtId="171" fontId="0" fillId="0" borderId="14" xfId="0" applyNumberFormat="1" applyFill="1" applyBorder="1" applyAlignment="1">
      <alignment vertical="center"/>
    </xf>
    <xf numFmtId="171" fontId="0" fillId="0" borderId="15" xfId="0" applyNumberFormat="1" applyFill="1" applyBorder="1" applyAlignment="1">
      <alignment vertical="center"/>
    </xf>
    <xf numFmtId="171" fontId="13" fillId="11" borderId="14" xfId="0" applyNumberFormat="1" applyFont="1" applyFill="1" applyBorder="1" applyAlignment="1">
      <alignment vertical="center"/>
    </xf>
    <xf numFmtId="171" fontId="13" fillId="11" borderId="15" xfId="0" applyNumberFormat="1" applyFont="1" applyFill="1" applyBorder="1" applyAlignment="1">
      <alignment vertical="center"/>
    </xf>
    <xf numFmtId="0" fontId="11" fillId="9" borderId="17" xfId="0" applyFont="1" applyFill="1" applyBorder="1" applyAlignment="1">
      <alignment horizontal="center"/>
    </xf>
    <xf numFmtId="0" fontId="11" fillId="9" borderId="16" xfId="0" applyFont="1" applyFill="1" applyBorder="1" applyAlignment="1">
      <alignment horizontal="center"/>
    </xf>
    <xf numFmtId="0" fontId="11" fillId="9" borderId="19" xfId="0" applyFont="1" applyFill="1" applyBorder="1" applyAlignment="1">
      <alignment horizontal="center"/>
    </xf>
    <xf numFmtId="0" fontId="11" fillId="9" borderId="20" xfId="0" applyFont="1" applyFill="1" applyBorder="1" applyAlignment="1">
      <alignment horizontal="center"/>
    </xf>
    <xf numFmtId="171" fontId="0" fillId="10" borderId="13" xfId="0" applyNumberFormat="1" applyFill="1" applyBorder="1" applyAlignment="1">
      <alignment vertical="center"/>
    </xf>
    <xf numFmtId="171" fontId="13" fillId="11" borderId="13" xfId="0" applyNumberFormat="1" applyFont="1" applyFill="1" applyBorder="1" applyAlignment="1">
      <alignment vertical="center"/>
    </xf>
    <xf numFmtId="171" fontId="0" fillId="0" borderId="13" xfId="0" applyNumberFormat="1" applyFill="1" applyBorder="1" applyAlignment="1">
      <alignment vertical="center"/>
    </xf>
    <xf numFmtId="171" fontId="0" fillId="0" borderId="18" xfId="0" applyNumberFormat="1" applyFill="1" applyBorder="1" applyAlignment="1">
      <alignment vertical="center"/>
    </xf>
    <xf numFmtId="0" fontId="11" fillId="9" borderId="21" xfId="0" applyFont="1" applyFill="1" applyBorder="1" applyAlignment="1">
      <alignment horizontal="centerContinuous"/>
    </xf>
    <xf numFmtId="0" fontId="11" fillId="9" borderId="22" xfId="0" applyFont="1" applyFill="1" applyBorder="1" applyAlignment="1">
      <alignment horizontal="centerContinuous"/>
    </xf>
    <xf numFmtId="0" fontId="11" fillId="9" borderId="23" xfId="0" applyFont="1" applyFill="1" applyBorder="1" applyAlignment="1">
      <alignment horizontal="center"/>
    </xf>
    <xf numFmtId="0" fontId="11" fillId="9" borderId="24" xfId="0" applyFont="1" applyFill="1" applyBorder="1" applyAlignment="1">
      <alignment horizontal="center"/>
    </xf>
    <xf numFmtId="171" fontId="0" fillId="10" borderId="21" xfId="0" applyNumberFormat="1" applyFill="1" applyBorder="1" applyAlignment="1">
      <alignment vertical="center"/>
    </xf>
    <xf numFmtId="171" fontId="0" fillId="10" borderId="25" xfId="0" applyNumberFormat="1" applyFill="1" applyBorder="1" applyAlignment="1">
      <alignment vertical="center"/>
    </xf>
    <xf numFmtId="171" fontId="13" fillId="11" borderId="21" xfId="0" applyNumberFormat="1" applyFont="1" applyFill="1" applyBorder="1" applyAlignment="1">
      <alignment vertical="center"/>
    </xf>
    <xf numFmtId="171" fontId="13" fillId="11" borderId="25" xfId="0" applyNumberFormat="1" applyFont="1" applyFill="1" applyBorder="1" applyAlignment="1">
      <alignment vertical="center"/>
    </xf>
    <xf numFmtId="0" fontId="11" fillId="9" borderId="26" xfId="0" applyFont="1" applyFill="1" applyBorder="1" applyAlignment="1">
      <alignment horizontal="center"/>
    </xf>
    <xf numFmtId="171" fontId="0" fillId="0" borderId="27" xfId="0" applyNumberFormat="1" applyFill="1" applyBorder="1" applyAlignment="1">
      <alignment vertical="center"/>
    </xf>
    <xf numFmtId="171" fontId="13" fillId="11" borderId="27" xfId="0" applyNumberFormat="1" applyFont="1" applyFill="1" applyBorder="1" applyAlignment="1">
      <alignment vertical="center"/>
    </xf>
    <xf numFmtId="0" fontId="0" fillId="0" borderId="0" xfId="0" applyAlignment="1">
      <alignment wrapText="1"/>
    </xf>
    <xf numFmtId="0" fontId="0" fillId="0" borderId="2" xfId="0" applyFill="1" applyBorder="1" applyAlignment="1">
      <alignment horizontal="center" vertical="center"/>
    </xf>
    <xf numFmtId="3" fontId="0" fillId="5" borderId="1" xfId="0" applyNumberFormat="1" applyFill="1" applyBorder="1" applyAlignment="1" applyProtection="1">
      <alignment horizontal="center" vertical="center"/>
      <protection locked="0"/>
    </xf>
    <xf numFmtId="182" fontId="0" fillId="5" borderId="1" xfId="0" applyNumberFormat="1" applyFill="1" applyBorder="1" applyAlignment="1" applyProtection="1">
      <alignment horizontal="center" vertical="center"/>
      <protection locked="0"/>
    </xf>
    <xf numFmtId="175" fontId="0" fillId="5" borderId="1" xfId="0" applyNumberFormat="1" applyFill="1" applyBorder="1" applyAlignment="1" applyProtection="1">
      <alignment vertical="center"/>
      <protection locked="0"/>
    </xf>
    <xf numFmtId="9" fontId="0" fillId="5" borderId="1" xfId="2" applyFont="1" applyFill="1" applyBorder="1" applyAlignment="1" applyProtection="1">
      <alignment horizontal="center" vertical="center"/>
      <protection locked="0"/>
    </xf>
    <xf numFmtId="179" fontId="0" fillId="5" borderId="1" xfId="0" applyNumberFormat="1" applyFill="1" applyBorder="1" applyAlignment="1" applyProtection="1">
      <alignment horizontal="center" vertical="center"/>
      <protection locked="0"/>
    </xf>
    <xf numFmtId="0" fontId="0" fillId="0" borderId="3" xfId="0" applyFill="1" applyBorder="1" applyAlignment="1">
      <alignment vertical="center"/>
    </xf>
    <xf numFmtId="0" fontId="0" fillId="0" borderId="1" xfId="0" applyFill="1" applyBorder="1" applyAlignment="1">
      <alignment horizontal="center" vertical="center"/>
    </xf>
    <xf numFmtId="43" fontId="2" fillId="0" borderId="1" xfId="1" applyNumberFormat="1" applyFont="1" applyFill="1" applyBorder="1" applyAlignment="1">
      <alignment horizontal="left" vertical="center"/>
    </xf>
    <xf numFmtId="44" fontId="0" fillId="0" borderId="1" xfId="4" applyFont="1" applyFill="1" applyBorder="1" applyAlignment="1">
      <alignment horizontal="center" vertical="center"/>
    </xf>
    <xf numFmtId="44" fontId="0" fillId="0" borderId="4" xfId="4" applyFont="1" applyFill="1" applyBorder="1" applyAlignment="1">
      <alignment horizontal="center" vertical="center"/>
    </xf>
    <xf numFmtId="2" fontId="0" fillId="3" borderId="1" xfId="0" applyNumberFormat="1" applyFill="1" applyBorder="1" applyAlignment="1" applyProtection="1">
      <alignment horizontal="center" vertical="center"/>
      <protection locked="0"/>
    </xf>
    <xf numFmtId="181" fontId="0" fillId="3" borderId="1" xfId="0" applyNumberFormat="1" applyFill="1" applyBorder="1" applyAlignment="1" applyProtection="1">
      <alignment horizontal="center" vertical="center"/>
      <protection locked="0"/>
    </xf>
    <xf numFmtId="0" fontId="0" fillId="2" borderId="0" xfId="0" applyFill="1" applyBorder="1"/>
    <xf numFmtId="0" fontId="0" fillId="4" borderId="0" xfId="0" applyFill="1" applyBorder="1"/>
    <xf numFmtId="0" fontId="6" fillId="2" borderId="0" xfId="3" applyFill="1"/>
    <xf numFmtId="165" fontId="4" fillId="0" borderId="1" xfId="0" applyNumberFormat="1" applyFont="1" applyFill="1" applyBorder="1" applyAlignment="1" applyProtection="1">
      <alignment horizontal="center" vertical="center"/>
      <protection locked="0"/>
    </xf>
    <xf numFmtId="168" fontId="0" fillId="0" borderId="1" xfId="0" applyNumberFormat="1" applyFill="1" applyBorder="1" applyAlignment="1">
      <alignment vertical="center"/>
    </xf>
    <xf numFmtId="164" fontId="0" fillId="0" borderId="1" xfId="0" applyNumberFormat="1" applyFill="1" applyBorder="1" applyAlignment="1" applyProtection="1">
      <alignment horizontal="center" vertical="center"/>
      <protection locked="0"/>
    </xf>
    <xf numFmtId="184" fontId="0" fillId="0" borderId="0" xfId="2" applyNumberFormat="1" applyFont="1"/>
    <xf numFmtId="43" fontId="0" fillId="0" borderId="0" xfId="0" applyNumberFormat="1"/>
    <xf numFmtId="0" fontId="0" fillId="0" borderId="3" xfId="0" applyFill="1" applyBorder="1" applyAlignment="1">
      <alignment horizontal="left" vertical="center" indent="1"/>
    </xf>
    <xf numFmtId="0" fontId="0" fillId="0" borderId="6" xfId="0" applyFill="1" applyBorder="1" applyAlignment="1">
      <alignment horizontal="left" vertical="center" indent="1"/>
    </xf>
    <xf numFmtId="0" fontId="0" fillId="0" borderId="2" xfId="0" applyFill="1" applyBorder="1" applyAlignment="1">
      <alignment horizontal="left" vertical="center" indent="1"/>
    </xf>
    <xf numFmtId="0" fontId="2" fillId="0" borderId="3" xfId="0" applyFont="1" applyFill="1" applyBorder="1" applyAlignment="1">
      <alignment horizontal="left" vertical="center" indent="1"/>
    </xf>
    <xf numFmtId="0" fontId="2" fillId="0" borderId="6" xfId="0" applyFont="1" applyFill="1" applyBorder="1" applyAlignment="1">
      <alignment horizontal="left" vertical="center" indent="1"/>
    </xf>
    <xf numFmtId="0" fontId="2" fillId="0" borderId="2" xfId="0" applyFont="1" applyFill="1" applyBorder="1" applyAlignment="1">
      <alignment horizontal="left" vertical="center" indent="1"/>
    </xf>
    <xf numFmtId="9" fontId="0" fillId="2" borderId="0" xfId="2" applyFont="1" applyFill="1" applyAlignment="1">
      <alignment vertical="center"/>
    </xf>
    <xf numFmtId="0" fontId="0" fillId="8" borderId="1" xfId="0" applyFill="1" applyBorder="1" applyAlignment="1">
      <alignment vertical="center"/>
    </xf>
    <xf numFmtId="0" fontId="0" fillId="0" borderId="1" xfId="0" applyFill="1" applyBorder="1" applyAlignment="1">
      <alignment horizontal="center" vertical="center"/>
    </xf>
    <xf numFmtId="165" fontId="2" fillId="0" borderId="1" xfId="0" applyNumberFormat="1" applyFont="1" applyFill="1" applyBorder="1" applyAlignment="1">
      <alignment horizontal="center" vertical="center"/>
    </xf>
    <xf numFmtId="0" fontId="0" fillId="0" borderId="3" xfId="0" applyFill="1" applyBorder="1" applyAlignment="1">
      <alignment horizontal="left" vertical="center" indent="1"/>
    </xf>
    <xf numFmtId="0" fontId="0" fillId="0" borderId="6" xfId="0" applyFill="1" applyBorder="1" applyAlignment="1">
      <alignment horizontal="left" vertical="center" indent="1"/>
    </xf>
    <xf numFmtId="0" fontId="0" fillId="0" borderId="2" xfId="0" applyFill="1" applyBorder="1" applyAlignment="1">
      <alignment horizontal="left" vertical="center" indent="1"/>
    </xf>
    <xf numFmtId="0" fontId="6" fillId="6" borderId="3" xfId="3" applyFill="1" applyBorder="1" applyAlignment="1">
      <alignment horizontal="left" vertical="center" indent="1"/>
    </xf>
    <xf numFmtId="0" fontId="6" fillId="6" borderId="6" xfId="3" applyFill="1" applyBorder="1" applyAlignment="1">
      <alignment horizontal="left" vertical="center" indent="1"/>
    </xf>
    <xf numFmtId="0" fontId="6" fillId="6" borderId="2" xfId="3" applyFill="1" applyBorder="1" applyAlignment="1">
      <alignment horizontal="left" vertical="center" indent="1"/>
    </xf>
    <xf numFmtId="0" fontId="8" fillId="0" borderId="3" xfId="3" applyFont="1" applyFill="1" applyBorder="1" applyAlignment="1">
      <alignment horizontal="left" vertical="center" indent="1"/>
    </xf>
    <xf numFmtId="0" fontId="8" fillId="0" borderId="6" xfId="3" applyFont="1" applyFill="1" applyBorder="1" applyAlignment="1">
      <alignment horizontal="left" vertical="center" indent="1"/>
    </xf>
    <xf numFmtId="0" fontId="8" fillId="0" borderId="2" xfId="3" applyFont="1" applyFill="1" applyBorder="1" applyAlignment="1">
      <alignment horizontal="left" vertical="center" indent="1"/>
    </xf>
    <xf numFmtId="0" fontId="0" fillId="0" borderId="3" xfId="0" applyFill="1" applyBorder="1" applyAlignment="1">
      <alignment horizontal="center" vertical="center"/>
    </xf>
    <xf numFmtId="0" fontId="0" fillId="0" borderId="2" xfId="0" applyFill="1" applyBorder="1" applyAlignment="1">
      <alignment horizontal="center" vertical="center"/>
    </xf>
    <xf numFmtId="0" fontId="2" fillId="0" borderId="11" xfId="0" applyFont="1" applyFill="1" applyBorder="1" applyAlignment="1">
      <alignment horizontal="center" vertical="center"/>
    </xf>
    <xf numFmtId="0" fontId="2" fillId="0" borderId="12" xfId="0" applyFont="1" applyFill="1" applyBorder="1" applyAlignment="1">
      <alignment horizontal="center" vertical="center"/>
    </xf>
    <xf numFmtId="43" fontId="2" fillId="0" borderId="1" xfId="1" applyNumberFormat="1" applyFont="1" applyFill="1" applyBorder="1" applyAlignment="1">
      <alignment horizontal="center" vertical="center"/>
    </xf>
    <xf numFmtId="0" fontId="0" fillId="0" borderId="7" xfId="0" applyFill="1" applyBorder="1" applyAlignment="1">
      <alignment horizontal="left" vertical="center" wrapText="1" indent="1"/>
    </xf>
    <xf numFmtId="0" fontId="0" fillId="0" borderId="8" xfId="0" applyFill="1" applyBorder="1" applyAlignment="1">
      <alignment horizontal="left" vertical="center" wrapText="1" indent="1"/>
    </xf>
    <xf numFmtId="0" fontId="0" fillId="0" borderId="9" xfId="0" applyFill="1" applyBorder="1" applyAlignment="1">
      <alignment horizontal="left" vertical="center" wrapText="1" indent="1"/>
    </xf>
    <xf numFmtId="0" fontId="0" fillId="0" borderId="10" xfId="0" applyFill="1" applyBorder="1" applyAlignment="1">
      <alignment horizontal="left" vertical="center" wrapText="1" indent="1"/>
    </xf>
    <xf numFmtId="43" fontId="0" fillId="0" borderId="1" xfId="1" applyNumberFormat="1" applyFont="1" applyFill="1" applyBorder="1" applyAlignment="1">
      <alignment horizontal="center" vertical="center"/>
    </xf>
    <xf numFmtId="0" fontId="0" fillId="0" borderId="1" xfId="0" applyFill="1" applyBorder="1" applyAlignment="1">
      <alignment horizontal="left" vertical="center" wrapText="1" indent="1"/>
    </xf>
    <xf numFmtId="0" fontId="0" fillId="0" borderId="1" xfId="0" applyFill="1" applyBorder="1" applyAlignment="1">
      <alignment horizontal="center" vertical="center" wrapText="1"/>
    </xf>
    <xf numFmtId="43" fontId="2" fillId="0" borderId="1" xfId="1" applyNumberFormat="1" applyFont="1" applyFill="1" applyBorder="1" applyAlignment="1">
      <alignment horizontal="left" vertical="center"/>
    </xf>
    <xf numFmtId="43" fontId="0" fillId="0" borderId="3" xfId="1" applyNumberFormat="1" applyFont="1" applyFill="1" applyBorder="1" applyAlignment="1">
      <alignment horizontal="left" vertical="center"/>
    </xf>
    <xf numFmtId="43" fontId="0" fillId="0" borderId="6" xfId="1" applyNumberFormat="1" applyFont="1" applyFill="1" applyBorder="1" applyAlignment="1">
      <alignment horizontal="left" vertical="center"/>
    </xf>
    <xf numFmtId="43" fontId="0" fillId="0" borderId="2" xfId="1" applyNumberFormat="1" applyFont="1" applyFill="1" applyBorder="1" applyAlignment="1">
      <alignment horizontal="left" vertical="center"/>
    </xf>
    <xf numFmtId="0" fontId="2" fillId="0" borderId="1"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2" xfId="0" applyFont="1" applyFill="1" applyBorder="1" applyAlignment="1">
      <alignment horizontal="center" vertical="center"/>
    </xf>
    <xf numFmtId="0" fontId="0" fillId="0" borderId="1" xfId="0" applyFill="1" applyBorder="1" applyAlignment="1">
      <alignment horizontal="left" vertical="center" indent="1"/>
    </xf>
  </cellXfs>
  <cellStyles count="5">
    <cellStyle name="Comma" xfId="1" builtinId="3"/>
    <cellStyle name="Currency" xfId="4" builtinId="4"/>
    <cellStyle name="Hyperlink" xfId="3" builtinId="8"/>
    <cellStyle name="Normal" xfId="0" builtinId="0"/>
    <cellStyle name="Percent" xfId="2" builtinId="5"/>
  </cellStyles>
  <dxfs count="2">
    <dxf>
      <fill>
        <patternFill>
          <bgColor rgb="FFFF7C80"/>
        </patternFill>
      </fill>
    </dxf>
    <dxf>
      <font>
        <color theme="0" tint="-0.24994659260841701"/>
      </font>
      <fill>
        <patternFill>
          <bgColor theme="0" tint="-0.24994659260841701"/>
        </patternFill>
      </fill>
      <border>
        <left/>
        <right/>
        <top/>
        <bottom/>
        <vertical/>
        <horizontal/>
      </border>
    </dxf>
  </dxfs>
  <tableStyles count="0" defaultTableStyle="TableStyleMedium2" defaultPivotStyle="PivotStyleLight16"/>
  <colors>
    <mruColors>
      <color rgb="FFBDD7EE"/>
      <color rgb="FFBFBFBF"/>
      <color rgb="FFFF7C80"/>
      <color rgb="FFCCCCFF"/>
      <color rgb="FFCC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NZ"/>
              <a:t>Financial</a:t>
            </a:r>
            <a:r>
              <a:rPr lang="en-NZ" baseline="0"/>
              <a:t> Impact of HCH Model</a:t>
            </a:r>
            <a:endParaRPr lang="en-NZ"/>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4309956360876577"/>
          <c:y val="0.22251024463866415"/>
          <c:w val="0.82928999462416597"/>
          <c:h val="0.59649201925360706"/>
        </c:manualLayout>
      </c:layout>
      <c:barChart>
        <c:barDir val="col"/>
        <c:grouping val="clustered"/>
        <c:varyColors val="0"/>
        <c:ser>
          <c:idx val="3"/>
          <c:order val="0"/>
          <c:tx>
            <c:strRef>
              <c:f>'Summary to Present'!$B$2</c:f>
              <c:strCache>
                <c:ptCount val="1"/>
                <c:pt idx="0">
                  <c:v>Change in Revenue</c:v>
                </c:pt>
              </c:strCache>
            </c:strRef>
          </c:tx>
          <c:spPr>
            <a:solidFill>
              <a:srgbClr val="70AD47"/>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'Summary to Present'!$B$21:$E$21</c:f>
              <c:numCache>
                <c:formatCode>_-* #,##0_-;[Red]\(#,##0\)\ ;_-* "-"??_-;_-@_-</c:formatCode>
                <c:ptCount val="4"/>
                <c:pt idx="0">
                  <c:v>18869.63537974656</c:v>
                </c:pt>
                <c:pt idx="1">
                  <c:v>10034.710546211092</c:v>
                </c:pt>
                <c:pt idx="2">
                  <c:v>9783.5976508339554</c:v>
                </c:pt>
                <c:pt idx="3">
                  <c:v>12901.450315067537</c:v>
                </c:pt>
              </c:numCache>
            </c:numRef>
          </c:val>
          <c:extLst>
            <c:ext xmlns:c16="http://schemas.microsoft.com/office/drawing/2014/chart" uri="{C3380CC4-5D6E-409C-BE32-E72D297353CC}">
              <c16:uniqueId val="{0000000E-772E-4226-8961-71A2B2421506}"/>
            </c:ext>
          </c:extLst>
        </c:ser>
        <c:ser>
          <c:idx val="0"/>
          <c:order val="1"/>
          <c:tx>
            <c:strRef>
              <c:f>'Summary to Present'!$F$2</c:f>
              <c:strCache>
                <c:ptCount val="1"/>
                <c:pt idx="0">
                  <c:v>Change in Expenses</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'Summary to Present'!$F$3:$I$3</c:f>
              <c:numCache>
                <c:formatCode>General</c:formatCode>
                <c:ptCount val="4"/>
                <c:pt idx="0">
                  <c:v>1</c:v>
                </c:pt>
                <c:pt idx="1">
                  <c:v>2</c:v>
                </c:pt>
                <c:pt idx="2">
                  <c:v>3</c:v>
                </c:pt>
                <c:pt idx="3">
                  <c:v>4</c:v>
                </c:pt>
              </c:numCache>
            </c:numRef>
          </c:cat>
          <c:val>
            <c:numRef>
              <c:f>'Summary to Present'!$F$21:$I$21</c:f>
              <c:numCache>
                <c:formatCode>_-* #,##0_-;[Red]\(#,##0\)\ ;_-* "-"??_-;_-@_-</c:formatCode>
                <c:ptCount val="4"/>
                <c:pt idx="0">
                  <c:v>13799.868584846783</c:v>
                </c:pt>
                <c:pt idx="1">
                  <c:v>5642.2204671026047</c:v>
                </c:pt>
                <c:pt idx="2">
                  <c:v>3074.6347386962734</c:v>
                </c:pt>
                <c:pt idx="3">
                  <c:v>4666.0270174371653</c:v>
                </c:pt>
              </c:numCache>
            </c:numRef>
          </c:val>
          <c:extLst>
            <c:ext xmlns:c16="http://schemas.microsoft.com/office/drawing/2014/chart" uri="{C3380CC4-5D6E-409C-BE32-E72D297353CC}">
              <c16:uniqueId val="{00000000-772E-4226-8961-71A2B2421506}"/>
            </c:ext>
          </c:extLst>
        </c:ser>
        <c:dLbls>
          <c:dLblPos val="outEnd"/>
          <c:showLegendKey val="0"/>
          <c:showVal val="1"/>
          <c:showCatName val="0"/>
          <c:showSerName val="0"/>
          <c:showPercent val="0"/>
          <c:showBubbleSize val="0"/>
        </c:dLbls>
        <c:gapWidth val="219"/>
        <c:axId val="495635880"/>
        <c:axId val="335924856"/>
      </c:barChart>
      <c:lineChart>
        <c:grouping val="standard"/>
        <c:varyColors val="0"/>
        <c:ser>
          <c:idx val="2"/>
          <c:order val="2"/>
          <c:tx>
            <c:strRef>
              <c:f>'Summary to Present'!$J$2</c:f>
              <c:strCache>
                <c:ptCount val="1"/>
                <c:pt idx="0">
                  <c:v>Net Profit</c:v>
                </c:pt>
              </c:strCache>
            </c:strRef>
          </c:tx>
          <c:spPr>
            <a:ln w="28575" cap="rnd">
              <a:solidFill>
                <a:schemeClr val="accent2"/>
              </a:solidFill>
              <a:round/>
            </a:ln>
            <a:effectLst/>
          </c:spPr>
          <c:marker>
            <c:symbol val="circle"/>
            <c:size val="7"/>
            <c:spPr>
              <a:solidFill>
                <a:schemeClr val="accent2"/>
              </a:solidFill>
              <a:ln w="25400">
                <a:solidFill>
                  <a:schemeClr val="bg1"/>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'Summary to Present'!$J$21:$M$21</c:f>
              <c:numCache>
                <c:formatCode>_-* #,##0_-;[Red]\(#,##0\)\ ;_-* "-"??_-;_-@_-</c:formatCode>
                <c:ptCount val="4"/>
                <c:pt idx="0">
                  <c:v>5069.7667948997741</c:v>
                </c:pt>
                <c:pt idx="1">
                  <c:v>4392.4900791084719</c:v>
                </c:pt>
                <c:pt idx="2">
                  <c:v>6708.9629121376829</c:v>
                </c:pt>
                <c:pt idx="3">
                  <c:v>8235.4232976303647</c:v>
                </c:pt>
              </c:numCache>
            </c:numRef>
          </c:val>
          <c:smooth val="0"/>
          <c:extLst>
            <c:ext xmlns:c16="http://schemas.microsoft.com/office/drawing/2014/chart" uri="{C3380CC4-5D6E-409C-BE32-E72D297353CC}">
              <c16:uniqueId val="{0000000D-772E-4226-8961-71A2B2421506}"/>
            </c:ext>
          </c:extLst>
        </c:ser>
        <c:dLbls>
          <c:showLegendKey val="0"/>
          <c:showVal val="0"/>
          <c:showCatName val="0"/>
          <c:showSerName val="0"/>
          <c:showPercent val="0"/>
          <c:showBubbleSize val="0"/>
        </c:dLbls>
        <c:marker val="1"/>
        <c:smooth val="0"/>
        <c:axId val="495635880"/>
        <c:axId val="335924856"/>
      </c:lineChart>
      <c:catAx>
        <c:axId val="495635880"/>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NZ"/>
                  <a:t>Year from Implementation</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35924856"/>
        <c:crosses val="autoZero"/>
        <c:auto val="1"/>
        <c:lblAlgn val="ctr"/>
        <c:lblOffset val="100"/>
        <c:noMultiLvlLbl val="0"/>
      </c:catAx>
      <c:valAx>
        <c:axId val="335924856"/>
        <c:scaling>
          <c:orientation val="minMax"/>
        </c:scaling>
        <c:delete val="0"/>
        <c:axPos val="l"/>
        <c:majorGridlines>
          <c:spPr>
            <a:ln w="9525" cap="flat" cmpd="sng" algn="ctr">
              <a:solidFill>
                <a:schemeClr val="bg1">
                  <a:lumMod val="75000"/>
                </a:schemeClr>
              </a:solidFill>
              <a:prstDash val="sysDot"/>
              <a:round/>
            </a:ln>
            <a:effectLst/>
          </c:spPr>
        </c:majorGridlines>
        <c:numFmt formatCode="_-* #,##0_-;[Red]\(#,##0\)\ ;_-* &quot;-&quot;??_-;_-@_-"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495635880"/>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NZ"/>
              <a:t>Movement of Financial</a:t>
            </a:r>
            <a:r>
              <a:rPr lang="en-NZ" baseline="0"/>
              <a:t> Metrics due to Health Care Home</a:t>
            </a:r>
            <a:endParaRPr lang="en-NZ"/>
          </a:p>
        </c:rich>
      </c:tx>
      <c:layout>
        <c:manualLayout>
          <c:xMode val="edge"/>
          <c:yMode val="edge"/>
          <c:x val="0.15950518279046774"/>
          <c:y val="4.0526836105007263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2525109658587111"/>
          <c:y val="0.16652476955547488"/>
          <c:w val="0.83725295757775497"/>
          <c:h val="0.617879482762692"/>
        </c:manualLayout>
      </c:layout>
      <c:lineChart>
        <c:grouping val="standard"/>
        <c:varyColors val="0"/>
        <c:ser>
          <c:idx val="0"/>
          <c:order val="0"/>
          <c:tx>
            <c:strRef>
              <c:f>Summary!$B$6</c:f>
              <c:strCache>
                <c:ptCount val="1"/>
                <c:pt idx="0">
                  <c:v> Total Operational Revenue </c:v>
                </c:pt>
              </c:strCache>
            </c:strRef>
          </c:tx>
          <c:spPr>
            <a:ln w="28575" cap="rnd">
              <a:solidFill>
                <a:schemeClr val="accent1"/>
              </a:solidFill>
              <a:round/>
            </a:ln>
            <a:effectLst/>
          </c:spPr>
          <c:marker>
            <c:symbol val="none"/>
          </c:marker>
          <c:cat>
            <c:strRef>
              <c:f>Summary!$C$3:$G$3</c:f>
              <c:strCache>
                <c:ptCount val="5"/>
                <c:pt idx="0">
                  <c:v>Base</c:v>
                </c:pt>
                <c:pt idx="1">
                  <c:v>1</c:v>
                </c:pt>
                <c:pt idx="2">
                  <c:v>2</c:v>
                </c:pt>
                <c:pt idx="3">
                  <c:v>3</c:v>
                </c:pt>
                <c:pt idx="4">
                  <c:v>4</c:v>
                </c:pt>
              </c:strCache>
            </c:strRef>
          </c:cat>
          <c:val>
            <c:numRef>
              <c:f>Summary!$C$6:$G$6</c:f>
              <c:numCache>
                <c:formatCode>_-* #,##0_-;[Red]\(#,##0\);_-* "-"??_-;_-@_-</c:formatCode>
                <c:ptCount val="5"/>
                <c:pt idx="0">
                  <c:v>2380000</c:v>
                </c:pt>
                <c:pt idx="1">
                  <c:v>2398869.6353797466</c:v>
                </c:pt>
                <c:pt idx="2">
                  <c:v>2390034.7105462113</c:v>
                </c:pt>
                <c:pt idx="3">
                  <c:v>2389783.5976508339</c:v>
                </c:pt>
                <c:pt idx="4">
                  <c:v>2392901.4503150675</c:v>
                </c:pt>
              </c:numCache>
            </c:numRef>
          </c:val>
          <c:smooth val="0"/>
          <c:extLst>
            <c:ext xmlns:c16="http://schemas.microsoft.com/office/drawing/2014/chart" uri="{C3380CC4-5D6E-409C-BE32-E72D297353CC}">
              <c16:uniqueId val="{00000000-4809-4D90-ACDB-6FDE98F3C390}"/>
            </c:ext>
          </c:extLst>
        </c:ser>
        <c:ser>
          <c:idx val="1"/>
          <c:order val="1"/>
          <c:tx>
            <c:strRef>
              <c:f>Summary!$B$16</c:f>
              <c:strCache>
                <c:ptCount val="1"/>
                <c:pt idx="0">
                  <c:v> Gross Profit </c:v>
                </c:pt>
              </c:strCache>
            </c:strRef>
          </c:tx>
          <c:spPr>
            <a:ln w="28575" cap="rnd">
              <a:solidFill>
                <a:schemeClr val="accent2"/>
              </a:solidFill>
              <a:round/>
            </a:ln>
            <a:effectLst/>
          </c:spPr>
          <c:marker>
            <c:symbol val="none"/>
          </c:marker>
          <c:cat>
            <c:strRef>
              <c:f>Summary!$C$3:$G$3</c:f>
              <c:strCache>
                <c:ptCount val="5"/>
                <c:pt idx="0">
                  <c:v>Base</c:v>
                </c:pt>
                <c:pt idx="1">
                  <c:v>1</c:v>
                </c:pt>
                <c:pt idx="2">
                  <c:v>2</c:v>
                </c:pt>
                <c:pt idx="3">
                  <c:v>3</c:v>
                </c:pt>
                <c:pt idx="4">
                  <c:v>4</c:v>
                </c:pt>
              </c:strCache>
            </c:strRef>
          </c:cat>
          <c:val>
            <c:numRef>
              <c:f>Summary!$C$16:$G$16</c:f>
              <c:numCache>
                <c:formatCode>_-* #,##0_-;[Red]\(#,##0\);_-* "-"??_-;_-@_-</c:formatCode>
                <c:ptCount val="5"/>
                <c:pt idx="0">
                  <c:v>630000</c:v>
                </c:pt>
                <c:pt idx="1">
                  <c:v>648869.63537974656</c:v>
                </c:pt>
                <c:pt idx="2">
                  <c:v>640034.71054621134</c:v>
                </c:pt>
                <c:pt idx="3">
                  <c:v>639783.59765083389</c:v>
                </c:pt>
                <c:pt idx="4">
                  <c:v>642901.45031506754</c:v>
                </c:pt>
              </c:numCache>
            </c:numRef>
          </c:val>
          <c:smooth val="0"/>
          <c:extLst>
            <c:ext xmlns:c16="http://schemas.microsoft.com/office/drawing/2014/chart" uri="{C3380CC4-5D6E-409C-BE32-E72D297353CC}">
              <c16:uniqueId val="{00000001-4809-4D90-ACDB-6FDE98F3C390}"/>
            </c:ext>
          </c:extLst>
        </c:ser>
        <c:ser>
          <c:idx val="3"/>
          <c:order val="2"/>
          <c:tx>
            <c:strRef>
              <c:f>Summary!$B$20</c:f>
              <c:strCache>
                <c:ptCount val="1"/>
                <c:pt idx="0">
                  <c:v> Operational Profit </c:v>
                </c:pt>
              </c:strCache>
            </c:strRef>
          </c:tx>
          <c:spPr>
            <a:ln w="28575" cap="rnd">
              <a:solidFill>
                <a:schemeClr val="accent4"/>
              </a:solidFill>
              <a:round/>
            </a:ln>
            <a:effectLst/>
          </c:spPr>
          <c:marker>
            <c:symbol val="none"/>
          </c:marker>
          <c:cat>
            <c:strRef>
              <c:f>Summary!$C$3:$G$3</c:f>
              <c:strCache>
                <c:ptCount val="5"/>
                <c:pt idx="0">
                  <c:v>Base</c:v>
                </c:pt>
                <c:pt idx="1">
                  <c:v>1</c:v>
                </c:pt>
                <c:pt idx="2">
                  <c:v>2</c:v>
                </c:pt>
                <c:pt idx="3">
                  <c:v>3</c:v>
                </c:pt>
                <c:pt idx="4">
                  <c:v>4</c:v>
                </c:pt>
              </c:strCache>
            </c:strRef>
          </c:cat>
          <c:val>
            <c:numRef>
              <c:f>Summary!$C$20:$G$20</c:f>
              <c:numCache>
                <c:formatCode>_-* #,##0_-;[Red]\(#,##0\);_-* "-"??_-;_-@_-</c:formatCode>
                <c:ptCount val="5"/>
                <c:pt idx="0">
                  <c:v>80000</c:v>
                </c:pt>
                <c:pt idx="1">
                  <c:v>64812.987924145418</c:v>
                </c:pt>
                <c:pt idx="2">
                  <c:v>21720.02304621134</c:v>
                </c:pt>
                <c:pt idx="3">
                  <c:v>21468.910150833894</c:v>
                </c:pt>
                <c:pt idx="4">
                  <c:v>24586.762815067545</c:v>
                </c:pt>
              </c:numCache>
            </c:numRef>
          </c:val>
          <c:smooth val="0"/>
          <c:extLst>
            <c:ext xmlns:c16="http://schemas.microsoft.com/office/drawing/2014/chart" uri="{C3380CC4-5D6E-409C-BE32-E72D297353CC}">
              <c16:uniqueId val="{00000003-4809-4D90-ACDB-6FDE98F3C390}"/>
            </c:ext>
          </c:extLst>
        </c:ser>
        <c:dLbls>
          <c:showLegendKey val="0"/>
          <c:showVal val="0"/>
          <c:showCatName val="0"/>
          <c:showSerName val="0"/>
          <c:showPercent val="0"/>
          <c:showBubbleSize val="0"/>
        </c:dLbls>
        <c:smooth val="0"/>
        <c:axId val="647603848"/>
        <c:axId val="647603192"/>
      </c:lineChart>
      <c:catAx>
        <c:axId val="647603848"/>
        <c:scaling>
          <c:orientation val="minMax"/>
        </c:scaling>
        <c:delete val="0"/>
        <c:axPos val="b"/>
        <c:minorGridlines>
          <c:spPr>
            <a:ln w="9525" cap="flat" cmpd="sng" algn="ctr">
              <a:solidFill>
                <a:schemeClr val="tx1">
                  <a:lumMod val="5000"/>
                  <a:lumOff val="95000"/>
                </a:schemeClr>
              </a:solidFill>
              <a:round/>
            </a:ln>
            <a:effectLst/>
          </c:spPr>
        </c:minorGridlines>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47603192"/>
        <c:crosses val="autoZero"/>
        <c:auto val="1"/>
        <c:lblAlgn val="ctr"/>
        <c:lblOffset val="100"/>
        <c:noMultiLvlLbl val="0"/>
      </c:catAx>
      <c:valAx>
        <c:axId val="647603192"/>
        <c:scaling>
          <c:orientation val="minMax"/>
        </c:scaling>
        <c:delete val="0"/>
        <c:axPos val="l"/>
        <c:numFmt formatCode="_-* #,##0_-;[Red]\(#,##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4760384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zero"/>
    <c:showDLblsOverMax val="0"/>
  </c:chart>
  <c:spPr>
    <a:solidFill>
      <a:schemeClr val="bg1"/>
    </a:solidFill>
    <a:ln w="9525" cap="flat" cmpd="sng" algn="ctr">
      <a:solidFill>
        <a:sysClr val="windowText" lastClr="000000"/>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ustomXml" Target="../ink/ink1.xml"/><Relationship Id="rId5" Type="http://schemas.openxmlformats.org/officeDocument/2006/relationships/chart" Target="../charts/chart2.xml"/><Relationship Id="rId4" Type="http://schemas.openxmlformats.org/officeDocument/2006/relationships/image" Target="../media/image20.png"/></Relationships>
</file>

<file path=xl/drawings/drawing1.xml><?xml version="1.0" encoding="utf-8"?>
<xdr:wsDr xmlns:xdr="http://schemas.openxmlformats.org/drawingml/2006/spreadsheetDrawing" xmlns:a="http://schemas.openxmlformats.org/drawingml/2006/main">
  <xdr:twoCellAnchor>
    <xdr:from>
      <xdr:col>0</xdr:col>
      <xdr:colOff>297180</xdr:colOff>
      <xdr:row>25</xdr:row>
      <xdr:rowOff>3810</xdr:rowOff>
    </xdr:from>
    <xdr:to>
      <xdr:col>7</xdr:col>
      <xdr:colOff>220980</xdr:colOff>
      <xdr:row>43</xdr:row>
      <xdr:rowOff>38100</xdr:rowOff>
    </xdr:to>
    <xdr:graphicFrame macro="">
      <xdr:nvGraphicFramePr>
        <xdr:cNvPr id="2" name="Chart 1">
          <a:extLst>
            <a:ext uri="{FF2B5EF4-FFF2-40B4-BE49-F238E27FC236}">
              <a16:creationId xmlns:a16="http://schemas.microsoft.com/office/drawing/2014/main" id="{BA3C89E7-36C8-4817-B20B-E03079F10C1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13320</xdr:colOff>
      <xdr:row>7</xdr:row>
      <xdr:rowOff>140100</xdr:rowOff>
    </xdr:from>
    <xdr:to>
      <xdr:col>0</xdr:col>
      <xdr:colOff>73440</xdr:colOff>
      <xdr:row>7</xdr:row>
      <xdr:rowOff>204180</xdr:rowOff>
    </xdr:to>
    <mc:AlternateContent xmlns:mc="http://schemas.openxmlformats.org/markup-compatibility/2006" xmlns:xdr14="http://schemas.microsoft.com/office/excel/2010/spreadsheetDrawing">
      <mc:Choice Requires="xdr14">
        <xdr:contentPart xmlns:r="http://schemas.openxmlformats.org/officeDocument/2006/relationships" r:id="rId1">
          <xdr14:nvContentPartPr>
            <xdr14:cNvPr id="6" name="Ink 5">
              <a:extLst>
                <a:ext uri="{FF2B5EF4-FFF2-40B4-BE49-F238E27FC236}">
                  <a16:creationId xmlns:a16="http://schemas.microsoft.com/office/drawing/2014/main" id="{D89B2A52-980F-4B06-AF48-80CAB7F4CF84}"/>
                </a:ext>
              </a:extLst>
            </xdr14:cNvPr>
            <xdr14:cNvContentPartPr/>
          </xdr14:nvContentPartPr>
          <xdr14:nvPr macro=""/>
          <xdr14:xfrm>
            <a:off x="13320" y="3607200"/>
            <a:ext cx="60120" cy="64080"/>
          </xdr14:xfrm>
        </xdr:contentPart>
      </mc:Choice>
      <mc:Fallback xmlns="">
        <xdr:pic>
          <xdr:nvPicPr>
            <xdr:cNvPr id="6" name="Ink 5">
              <a:extLst>
                <a:ext uri="{FF2B5EF4-FFF2-40B4-BE49-F238E27FC236}">
                  <a16:creationId xmlns:a16="http://schemas.microsoft.com/office/drawing/2014/main" id="{D89B2A52-980F-4B06-AF48-80CAB7F4CF84}"/>
                </a:ext>
              </a:extLst>
            </xdr:cNvPr>
            <xdr:cNvPicPr/>
          </xdr:nvPicPr>
          <xdr:blipFill>
            <a:blip xmlns:r="http://schemas.openxmlformats.org/officeDocument/2006/relationships" r:embed="rId4"/>
            <a:stretch>
              <a:fillRect/>
            </a:stretch>
          </xdr:blipFill>
          <xdr:spPr>
            <a:xfrm>
              <a:off x="4374" y="3598200"/>
              <a:ext cx="77655" cy="81720"/>
            </a:xfrm>
            <a:prstGeom prst="rect">
              <a:avLst/>
            </a:prstGeom>
          </xdr:spPr>
        </xdr:pic>
      </mc:Fallback>
    </mc:AlternateContent>
    <xdr:clientData/>
  </xdr:twoCellAnchor>
  <xdr:twoCellAnchor>
    <xdr:from>
      <xdr:col>0</xdr:col>
      <xdr:colOff>603249</xdr:colOff>
      <xdr:row>36</xdr:row>
      <xdr:rowOff>148167</xdr:rowOff>
    </xdr:from>
    <xdr:to>
      <xdr:col>7</xdr:col>
      <xdr:colOff>0</xdr:colOff>
      <xdr:row>48</xdr:row>
      <xdr:rowOff>63500</xdr:rowOff>
    </xdr:to>
    <xdr:graphicFrame macro="">
      <xdr:nvGraphicFramePr>
        <xdr:cNvPr id="2" name="Chart 1">
          <a:extLst>
            <a:ext uri="{FF2B5EF4-FFF2-40B4-BE49-F238E27FC236}">
              <a16:creationId xmlns:a16="http://schemas.microsoft.com/office/drawing/2014/main" id="{525FBEE2-65F8-400D-8E76-A845AE70ED6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3</xdr:col>
      <xdr:colOff>47625</xdr:colOff>
      <xdr:row>14</xdr:row>
      <xdr:rowOff>114300</xdr:rowOff>
    </xdr:from>
    <xdr:to>
      <xdr:col>3</xdr:col>
      <xdr:colOff>838200</xdr:colOff>
      <xdr:row>16</xdr:row>
      <xdr:rowOff>133351</xdr:rowOff>
    </xdr:to>
    <xdr:cxnSp macro="">
      <xdr:nvCxnSpPr>
        <xdr:cNvPr id="2" name="Straight Arrow Connector 1">
          <a:extLst>
            <a:ext uri="{FF2B5EF4-FFF2-40B4-BE49-F238E27FC236}">
              <a16:creationId xmlns:a16="http://schemas.microsoft.com/office/drawing/2014/main" id="{C650252D-96EB-4A55-8513-BB176B849326}"/>
            </a:ext>
          </a:extLst>
        </xdr:cNvPr>
        <xdr:cNvCxnSpPr/>
      </xdr:nvCxnSpPr>
      <xdr:spPr>
        <a:xfrm flipV="1">
          <a:off x="5381625" y="3314700"/>
          <a:ext cx="790575" cy="55245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57150</xdr:colOff>
      <xdr:row>16</xdr:row>
      <xdr:rowOff>123825</xdr:rowOff>
    </xdr:from>
    <xdr:to>
      <xdr:col>3</xdr:col>
      <xdr:colOff>904875</xdr:colOff>
      <xdr:row>16</xdr:row>
      <xdr:rowOff>133350</xdr:rowOff>
    </xdr:to>
    <xdr:cxnSp macro="">
      <xdr:nvCxnSpPr>
        <xdr:cNvPr id="3" name="Straight Arrow Connector 2">
          <a:extLst>
            <a:ext uri="{FF2B5EF4-FFF2-40B4-BE49-F238E27FC236}">
              <a16:creationId xmlns:a16="http://schemas.microsoft.com/office/drawing/2014/main" id="{6B5F3432-11A3-42A2-B940-BE8ED387E4FF}"/>
            </a:ext>
          </a:extLst>
        </xdr:cNvPr>
        <xdr:cNvCxnSpPr/>
      </xdr:nvCxnSpPr>
      <xdr:spPr>
        <a:xfrm flipV="1">
          <a:off x="4029075" y="1228725"/>
          <a:ext cx="847725" cy="952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47625</xdr:colOff>
      <xdr:row>16</xdr:row>
      <xdr:rowOff>123825</xdr:rowOff>
    </xdr:from>
    <xdr:to>
      <xdr:col>3</xdr:col>
      <xdr:colOff>809625</xdr:colOff>
      <xdr:row>18</xdr:row>
      <xdr:rowOff>133350</xdr:rowOff>
    </xdr:to>
    <xdr:cxnSp macro="">
      <xdr:nvCxnSpPr>
        <xdr:cNvPr id="4" name="Straight Arrow Connector 3">
          <a:extLst>
            <a:ext uri="{FF2B5EF4-FFF2-40B4-BE49-F238E27FC236}">
              <a16:creationId xmlns:a16="http://schemas.microsoft.com/office/drawing/2014/main" id="{8B17DFDF-DE9B-4201-B2D7-42237B3B06B0}"/>
            </a:ext>
          </a:extLst>
        </xdr:cNvPr>
        <xdr:cNvCxnSpPr/>
      </xdr:nvCxnSpPr>
      <xdr:spPr>
        <a:xfrm>
          <a:off x="4019550" y="1228725"/>
          <a:ext cx="762000" cy="56197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70597</xdr:colOff>
      <xdr:row>18</xdr:row>
      <xdr:rowOff>135034</xdr:rowOff>
    </xdr:from>
    <xdr:to>
      <xdr:col>7</xdr:col>
      <xdr:colOff>523875</xdr:colOff>
      <xdr:row>18</xdr:row>
      <xdr:rowOff>142875</xdr:rowOff>
    </xdr:to>
    <xdr:cxnSp macro="">
      <xdr:nvCxnSpPr>
        <xdr:cNvPr id="7" name="Straight Arrow Connector 6">
          <a:extLst>
            <a:ext uri="{FF2B5EF4-FFF2-40B4-BE49-F238E27FC236}">
              <a16:creationId xmlns:a16="http://schemas.microsoft.com/office/drawing/2014/main" id="{4CE7C90A-4084-4098-9E74-B56A9D8838AE}"/>
            </a:ext>
          </a:extLst>
        </xdr:cNvPr>
        <xdr:cNvCxnSpPr/>
      </xdr:nvCxnSpPr>
      <xdr:spPr>
        <a:xfrm>
          <a:off x="8414497" y="1792384"/>
          <a:ext cx="453278" cy="784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95250</xdr:colOff>
      <xdr:row>13</xdr:row>
      <xdr:rowOff>123825</xdr:rowOff>
    </xdr:from>
    <xdr:to>
      <xdr:col>7</xdr:col>
      <xdr:colOff>523875</xdr:colOff>
      <xdr:row>14</xdr:row>
      <xdr:rowOff>95250</xdr:rowOff>
    </xdr:to>
    <xdr:cxnSp macro="">
      <xdr:nvCxnSpPr>
        <xdr:cNvPr id="8" name="Straight Arrow Connector 7">
          <a:extLst>
            <a:ext uri="{FF2B5EF4-FFF2-40B4-BE49-F238E27FC236}">
              <a16:creationId xmlns:a16="http://schemas.microsoft.com/office/drawing/2014/main" id="{BD4E4C21-F3D6-4F28-BA96-0B40D4A16D6B}"/>
            </a:ext>
          </a:extLst>
        </xdr:cNvPr>
        <xdr:cNvCxnSpPr/>
      </xdr:nvCxnSpPr>
      <xdr:spPr>
        <a:xfrm flipV="1">
          <a:off x="10401300" y="3057525"/>
          <a:ext cx="428625" cy="23812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85725</xdr:colOff>
      <xdr:row>14</xdr:row>
      <xdr:rowOff>95250</xdr:rowOff>
    </xdr:from>
    <xdr:to>
      <xdr:col>7</xdr:col>
      <xdr:colOff>504825</xdr:colOff>
      <xdr:row>14</xdr:row>
      <xdr:rowOff>104775</xdr:rowOff>
    </xdr:to>
    <xdr:cxnSp macro="">
      <xdr:nvCxnSpPr>
        <xdr:cNvPr id="14" name="Straight Arrow Connector 13">
          <a:extLst>
            <a:ext uri="{FF2B5EF4-FFF2-40B4-BE49-F238E27FC236}">
              <a16:creationId xmlns:a16="http://schemas.microsoft.com/office/drawing/2014/main" id="{168D3EC0-9924-438A-9FBD-01EBFA19DAFF}"/>
            </a:ext>
          </a:extLst>
        </xdr:cNvPr>
        <xdr:cNvCxnSpPr/>
      </xdr:nvCxnSpPr>
      <xdr:spPr>
        <a:xfrm>
          <a:off x="10391775" y="3295650"/>
          <a:ext cx="419100" cy="952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66675</xdr:colOff>
      <xdr:row>18</xdr:row>
      <xdr:rowOff>142875</xdr:rowOff>
    </xdr:from>
    <xdr:to>
      <xdr:col>7</xdr:col>
      <xdr:colOff>495300</xdr:colOff>
      <xdr:row>19</xdr:row>
      <xdr:rowOff>123825</xdr:rowOff>
    </xdr:to>
    <xdr:cxnSp macro="">
      <xdr:nvCxnSpPr>
        <xdr:cNvPr id="22" name="Straight Arrow Connector 21">
          <a:extLst>
            <a:ext uri="{FF2B5EF4-FFF2-40B4-BE49-F238E27FC236}">
              <a16:creationId xmlns:a16="http://schemas.microsoft.com/office/drawing/2014/main" id="{CCCEC78D-F4AF-40E8-A4F3-79CE5D7375BE}"/>
            </a:ext>
          </a:extLst>
        </xdr:cNvPr>
        <xdr:cNvCxnSpPr/>
      </xdr:nvCxnSpPr>
      <xdr:spPr>
        <a:xfrm>
          <a:off x="8410575" y="1800225"/>
          <a:ext cx="428625" cy="25717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66675</xdr:colOff>
      <xdr:row>18</xdr:row>
      <xdr:rowOff>142875</xdr:rowOff>
    </xdr:from>
    <xdr:to>
      <xdr:col>7</xdr:col>
      <xdr:colOff>495300</xdr:colOff>
      <xdr:row>20</xdr:row>
      <xdr:rowOff>114300</xdr:rowOff>
    </xdr:to>
    <xdr:cxnSp macro="">
      <xdr:nvCxnSpPr>
        <xdr:cNvPr id="25" name="Straight Arrow Connector 24">
          <a:extLst>
            <a:ext uri="{FF2B5EF4-FFF2-40B4-BE49-F238E27FC236}">
              <a16:creationId xmlns:a16="http://schemas.microsoft.com/office/drawing/2014/main" id="{D6B61169-9852-431F-BE3E-0CC44F70CF17}"/>
            </a:ext>
          </a:extLst>
        </xdr:cNvPr>
        <xdr:cNvCxnSpPr/>
      </xdr:nvCxnSpPr>
      <xdr:spPr>
        <a:xfrm>
          <a:off x="8410575" y="1800225"/>
          <a:ext cx="428625" cy="52387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wsDr>
</file>

<file path=xl/ink/ink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17-03-15T23:19:19.182"/>
    </inkml:context>
    <inkml:brush xml:id="br0">
      <inkml:brushProperty name="width" value="0.05" units="cm"/>
      <inkml:brushProperty name="height" value="0.05" units="cm"/>
    </inkml:brush>
  </inkml:definitions>
  <inkml:traceGroup>
    <inkml:annotationXML>
      <emma:emma xmlns:emma="http://www.w3.org/2003/04/emma" version="1.0">
        <emma:interpretation id="{1B1635EA-99D8-4A21-87C2-36229B797760}" emma:medium="tactile" emma:mode="ink">
          <msink:context xmlns:msink="http://schemas.microsoft.com/ink/2010/main" type="writingRegion" rotatedBoundingBox="37,10020 204,10020 204,10197 37,10197"/>
        </emma:interpretation>
      </emma:emma>
    </inkml:annotationXML>
    <inkml:traceGroup>
      <inkml:annotationXML>
        <emma:emma xmlns:emma="http://www.w3.org/2003/04/emma" version="1.0">
          <emma:interpretation id="{E1E89486-2D7D-445A-A712-3338041FE359}" emma:medium="tactile" emma:mode="ink">
            <msink:context xmlns:msink="http://schemas.microsoft.com/ink/2010/main" type="paragraph" rotatedBoundingBox="37,10020 204,10020 204,10197 37,10197" alignmentLevel="1"/>
          </emma:interpretation>
        </emma:emma>
      </inkml:annotationXML>
      <inkml:traceGroup>
        <inkml:annotationXML>
          <emma:emma xmlns:emma="http://www.w3.org/2003/04/emma" version="1.0">
            <emma:interpretation id="{64A3E95F-B7C1-4C92-A587-938D833320FA}" emma:medium="tactile" emma:mode="ink">
              <msink:context xmlns:msink="http://schemas.microsoft.com/ink/2010/main" type="line" rotatedBoundingBox="37,10020 204,10020 204,10197 37,10197"/>
            </emma:interpretation>
          </emma:emma>
        </inkml:annotationXML>
        <inkml:traceGroup>
          <inkml:annotationXML>
            <emma:emma xmlns:emma="http://www.w3.org/2003/04/emma" version="1.0">
              <emma:interpretation id="{6BCC9B96-CE7D-470F-8C0E-5DED9461F431}" emma:medium="tactile" emma:mode="ink">
                <msink:context xmlns:msink="http://schemas.microsoft.com/ink/2010/main" type="inkWord" rotatedBoundingBox="37,10020 204,10020 204,10197 37,10197"/>
              </emma:interpretation>
              <emma:one-of disjunction-type="recognition" id="oneOf0">
                <emma:interpretation id="interp0" emma:lang="en-NZ" emma:confidence="0">
                  <emma:literal>'s</emma:literal>
                </emma:interpretation>
                <emma:interpretation id="interp1" emma:lang="en-NZ" emma:confidence="0">
                  <emma:literal>is</emma:literal>
                </emma:interpretation>
                <emma:interpretation id="interp2" emma:lang="en-NZ" emma:confidence="0">
                  <emma:literal>of</emma:literal>
                </emma:interpretation>
                <emma:interpretation id="interp3" emma:lang="en-NZ" emma:confidence="0">
                  <emma:literal>'t</emma:literal>
                </emma:interpretation>
                <emma:interpretation id="interp4" emma:lang="en-NZ" emma:confidence="0">
                  <emma:literal>'s.</emma:literal>
                </emma:interpretation>
              </emma:one-of>
            </emma:emma>
          </inkml:annotationXML>
          <inkml:trace contextRef="#ctx0" brushRef="#br0">16 1 2432,'7'21'1152,"-16"-15"-2176,5-4 1536,1 0-1280,-3-2 128</inkml:trace>
          <inkml:trace contextRef="#ctx0" brushRef="#br0" timeOffset="-181">121 61 3584,'31'54'1792,"-20"-6"-1792,-6-41 1920,-5-2-2048,-5-2 128,-4-9-640,-6-8 128,-5-7-128,-8-8 128</inkml:trace>
        </inkml:traceGroup>
      </inkml:traceGroup>
    </inkml:traceGroup>
  </inkml:traceGroup>
</inkm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hyperlink" Target="https://www.callcentrehelper.com/tools/erlang-calculator/" TargetMode="External"/><Relationship Id="rId1" Type="http://schemas.openxmlformats.org/officeDocument/2006/relationships/hyperlink" Target="https://www.erlang.com/calculator/call/"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B979B2-E4FF-482C-B29F-DF141DA96EA5}">
  <dimension ref="A2:M24"/>
  <sheetViews>
    <sheetView tabSelected="1" zoomScaleNormal="100" workbookViewId="0">
      <selection activeCell="N23" sqref="N23"/>
    </sheetView>
  </sheetViews>
  <sheetFormatPr defaultRowHeight="14.5" x14ac:dyDescent="0.35"/>
  <cols>
    <col min="1" max="1" width="32.90625" customWidth="1"/>
    <col min="2" max="13" width="9.81640625" customWidth="1"/>
  </cols>
  <sheetData>
    <row r="2" spans="1:13" x14ac:dyDescent="0.35">
      <c r="A2" s="138"/>
      <c r="B2" s="157" t="s">
        <v>281</v>
      </c>
      <c r="C2" s="144"/>
      <c r="D2" s="144"/>
      <c r="E2" s="144"/>
      <c r="F2" s="157" t="s">
        <v>282</v>
      </c>
      <c r="G2" s="144"/>
      <c r="H2" s="144"/>
      <c r="I2" s="158"/>
      <c r="J2" s="139" t="s">
        <v>279</v>
      </c>
      <c r="K2" s="139"/>
      <c r="L2" s="139"/>
      <c r="M2" s="139"/>
    </row>
    <row r="3" spans="1:13" x14ac:dyDescent="0.35">
      <c r="A3" s="143" t="s">
        <v>285</v>
      </c>
      <c r="B3" s="165">
        <v>1</v>
      </c>
      <c r="C3" s="151">
        <v>2</v>
      </c>
      <c r="D3" s="149">
        <v>3</v>
      </c>
      <c r="E3" s="150">
        <v>4</v>
      </c>
      <c r="F3" s="159">
        <v>1</v>
      </c>
      <c r="G3" s="149">
        <v>2</v>
      </c>
      <c r="H3" s="149">
        <v>3</v>
      </c>
      <c r="I3" s="160">
        <v>4</v>
      </c>
      <c r="J3" s="152">
        <v>1</v>
      </c>
      <c r="K3" s="149">
        <v>2</v>
      </c>
      <c r="L3" s="149">
        <v>3</v>
      </c>
      <c r="M3" s="151">
        <v>4</v>
      </c>
    </row>
    <row r="4" spans="1:13" x14ac:dyDescent="0.35">
      <c r="A4" s="168" t="s">
        <v>309</v>
      </c>
      <c r="B4" s="166">
        <f>Projection!BE7</f>
        <v>60000</v>
      </c>
      <c r="C4" s="156">
        <f>Projection!BF7</f>
        <v>60000</v>
      </c>
      <c r="D4" s="155">
        <f>Projection!BG7</f>
        <v>60000</v>
      </c>
      <c r="E4" s="145">
        <f>Projection!BH7</f>
        <v>60000</v>
      </c>
      <c r="F4" s="161">
        <f>Projection!BE30+Projection!BE53*Summary!$J$43+Projection!BE74*Summary!$K$43+Projection!BE95*Summary!$K$43+Projection!BE116*Summary!$L$43+Projection!BE137*Summary!$M$43</f>
        <v>0</v>
      </c>
      <c r="G4" s="153">
        <f>Projection!BF30+Projection!BF53*Summary!$J$43+Projection!BF74*Summary!$K$43+Projection!BF95*Summary!$K$43+Projection!BF116*Summary!$L$43+Projection!BF137*Summary!$M$43</f>
        <v>0</v>
      </c>
      <c r="H4" s="153">
        <f>Projection!BG30+Projection!BG53*Summary!$J$43+Projection!BG74*Summary!$K$43+Projection!BG95*Summary!$K$43+Projection!BG116*Summary!$L$43+Projection!BG137*Summary!$M$43</f>
        <v>0</v>
      </c>
      <c r="I4" s="162">
        <f>Projection!BH30+Projection!BH53*Summary!$J$43+Projection!BH74*Summary!$K$43+Projection!BH95*Summary!$K$43+Projection!BH116*Summary!$L$43+Projection!BH137*Summary!$M$43</f>
        <v>0</v>
      </c>
      <c r="J4" s="146">
        <f>B4-F4</f>
        <v>60000</v>
      </c>
      <c r="K4" s="155">
        <f>C4-G4</f>
        <v>60000</v>
      </c>
      <c r="L4" s="155">
        <f>D4-H4</f>
        <v>60000</v>
      </c>
      <c r="M4" s="137">
        <f>E4-I4</f>
        <v>60000</v>
      </c>
    </row>
    <row r="5" spans="1:13" x14ac:dyDescent="0.35">
      <c r="A5" t="s">
        <v>310</v>
      </c>
      <c r="B5" s="166">
        <f>Projection!BE8</f>
        <v>0</v>
      </c>
      <c r="C5" s="155">
        <f>Projection!BF8</f>
        <v>0</v>
      </c>
      <c r="D5" s="155">
        <f>Projection!BG8</f>
        <v>0</v>
      </c>
      <c r="E5" s="145">
        <f>Projection!BH8</f>
        <v>0</v>
      </c>
      <c r="F5" s="161">
        <f>Projection!BE31+Projection!BE54*Summary!$J$43+Projection!BE75*Summary!$K$43+Projection!BE96*Summary!$K$43+Projection!BE117*Summary!$L$43+Projection!BE138*Summary!$M$43</f>
        <v>0</v>
      </c>
      <c r="G5" s="153">
        <f>Projection!BF31+Projection!BF54*Summary!$J$43+Projection!BF75*Summary!$K$43+Projection!BF96*Summary!$K$43+Projection!BF117*Summary!$L$43+Projection!BF138*Summary!$M$43</f>
        <v>0</v>
      </c>
      <c r="H5" s="153">
        <f>Projection!BG31+Projection!BG54*Summary!$J$43+Projection!BG75*Summary!$K$43+Projection!BG96*Summary!$K$43+Projection!BG117*Summary!$L$43+Projection!BG138*Summary!$M$43</f>
        <v>0</v>
      </c>
      <c r="I5" s="162">
        <f>Projection!BH31+Projection!BH54*Summary!$J$43+Projection!BH75*Summary!$K$43+Projection!BH96*Summary!$K$43+Projection!BH117*Summary!$L$43+Projection!BH138*Summary!$M$43</f>
        <v>0</v>
      </c>
      <c r="J5" s="146">
        <f t="shared" ref="J5:J20" si="0">B5-F5</f>
        <v>0</v>
      </c>
      <c r="K5" s="155">
        <f t="shared" ref="K5:K20" si="1">C5-G5</f>
        <v>0</v>
      </c>
      <c r="L5" s="155">
        <f t="shared" ref="L5:L20" si="2">D5-H5</f>
        <v>0</v>
      </c>
      <c r="M5" s="137">
        <f t="shared" ref="M5:M20" si="3">E5-I5</f>
        <v>0</v>
      </c>
    </row>
    <row r="6" spans="1:13" hidden="1" x14ac:dyDescent="0.35">
      <c r="A6" t="s">
        <v>195</v>
      </c>
      <c r="B6" s="166">
        <f>Projection!BE9</f>
        <v>0</v>
      </c>
      <c r="C6" s="155">
        <f>Projection!BF9</f>
        <v>0</v>
      </c>
      <c r="D6" s="155">
        <f>Projection!BG9</f>
        <v>0</v>
      </c>
      <c r="E6" s="145">
        <f>Projection!BH9</f>
        <v>0</v>
      </c>
      <c r="F6" s="161">
        <f>Projection!BE32+Projection!BE55*Summary!$J$43+Projection!BE76*Summary!$K$43+Projection!BE97*Summary!$K$43+Projection!BE118*Summary!$L$43+Projection!BE139*Summary!$M$43</f>
        <v>0</v>
      </c>
      <c r="G6" s="153">
        <f>Projection!BF32+Projection!BF55*Summary!$J$43+Projection!BF76*Summary!$K$43+Projection!BF97*Summary!$K$43+Projection!BF118*Summary!$L$43+Projection!BF139*Summary!$M$43</f>
        <v>0</v>
      </c>
      <c r="H6" s="153">
        <f>Projection!BG32+Projection!BG55*Summary!$J$43+Projection!BG76*Summary!$K$43+Projection!BG97*Summary!$K$43+Projection!BG118*Summary!$L$43+Projection!BG139*Summary!$M$43</f>
        <v>0</v>
      </c>
      <c r="I6" s="162">
        <f>Projection!BH32+Projection!BH55*Summary!$J$43+Projection!BH76*Summary!$K$43+Projection!BH97*Summary!$K$43+Projection!BH118*Summary!$L$43+Projection!BH139*Summary!$M$43</f>
        <v>0</v>
      </c>
      <c r="J6" s="146">
        <f t="shared" si="0"/>
        <v>0</v>
      </c>
      <c r="K6" s="155">
        <f t="shared" si="1"/>
        <v>0</v>
      </c>
      <c r="L6" s="155">
        <f t="shared" si="2"/>
        <v>0</v>
      </c>
      <c r="M6" s="137">
        <f t="shared" si="3"/>
        <v>0</v>
      </c>
    </row>
    <row r="7" spans="1:13" x14ac:dyDescent="0.35">
      <c r="A7" t="s">
        <v>37</v>
      </c>
      <c r="B7" s="166">
        <f>Projection!BE10</f>
        <v>0</v>
      </c>
      <c r="C7" s="155">
        <f>Projection!BF10</f>
        <v>0</v>
      </c>
      <c r="D7" s="155">
        <f>Projection!BG10</f>
        <v>0</v>
      </c>
      <c r="E7" s="145">
        <f>Projection!BH10</f>
        <v>0</v>
      </c>
      <c r="F7" s="161">
        <f>Projection!BE33+Projection!BE56*Summary!$J$43+Projection!BE77*Summary!$K$43+Projection!BE98*Summary!$K$43+Projection!BE119*Summary!$L$43+Projection!BE140*Summary!$M$43</f>
        <v>47000</v>
      </c>
      <c r="G7" s="153">
        <f>Projection!BF33+Projection!BF56*Summary!$J$43+Projection!BF77*Summary!$K$43+Projection!BF98*Summary!$K$43+Projection!BF119*Summary!$L$43+Projection!BF140*Summary!$M$43</f>
        <v>45000</v>
      </c>
      <c r="H7" s="153">
        <f>Projection!BG33+Projection!BG56*Summary!$J$43+Projection!BG77*Summary!$K$43+Projection!BG98*Summary!$K$43+Projection!BG119*Summary!$L$43+Projection!BG140*Summary!$M$43</f>
        <v>45000</v>
      </c>
      <c r="I7" s="162">
        <f>Projection!BH33+Projection!BH56*Summary!$J$43+Projection!BH77*Summary!$K$43+Projection!BH98*Summary!$K$43+Projection!BH119*Summary!$L$43+Projection!BH140*Summary!$M$43</f>
        <v>45000</v>
      </c>
      <c r="J7" s="146">
        <f t="shared" si="0"/>
        <v>-47000</v>
      </c>
      <c r="K7" s="155">
        <f t="shared" si="1"/>
        <v>-45000</v>
      </c>
      <c r="L7" s="155">
        <f t="shared" si="2"/>
        <v>-45000</v>
      </c>
      <c r="M7" s="137">
        <f t="shared" si="3"/>
        <v>-45000</v>
      </c>
    </row>
    <row r="8" spans="1:13" x14ac:dyDescent="0.35">
      <c r="A8" t="s">
        <v>82</v>
      </c>
      <c r="B8" s="166">
        <f>Projection!BE11</f>
        <v>-21322.486956521734</v>
      </c>
      <c r="C8" s="155">
        <f>Projection!BF11</f>
        <v>-28429.982608695642</v>
      </c>
      <c r="D8" s="155">
        <f>Projection!BG11</f>
        <v>-28429.982608695642</v>
      </c>
      <c r="E8" s="145">
        <f>Projection!BH11</f>
        <v>-28429.982608695642</v>
      </c>
      <c r="F8" s="161">
        <f>Projection!BE34+Projection!BE57*Summary!$J$43+Projection!BE78*Summary!$K$43+Projection!BE99*Summary!$K$43+Projection!BE120*Summary!$L$43+Projection!BE141*Summary!$M$43</f>
        <v>-85412.109375</v>
      </c>
      <c r="G8" s="153">
        <f>Projection!BF34+Projection!BF57*Summary!$J$43+Projection!BF78*Summary!$K$43+Projection!BF99*Summary!$K$43+Projection!BF120*Summary!$L$43+Projection!BF141*Summary!$M$43</f>
        <v>-113882.8125</v>
      </c>
      <c r="H8" s="153">
        <f>Projection!BG34+Projection!BG57*Summary!$J$43+Projection!BG78*Summary!$K$43+Projection!BG99*Summary!$K$43+Projection!BG120*Summary!$L$43+Projection!BG141*Summary!$M$43</f>
        <v>-113882.8125</v>
      </c>
      <c r="I8" s="162">
        <f>Projection!BH34+Projection!BH57*Summary!$J$43+Projection!BH78*Summary!$K$43+Projection!BH99*Summary!$K$43+Projection!BH120*Summary!$L$43+Projection!BH141*Summary!$M$43</f>
        <v>-113882.8125</v>
      </c>
      <c r="J8" s="146">
        <f t="shared" si="0"/>
        <v>64089.622418478262</v>
      </c>
      <c r="K8" s="155">
        <f t="shared" si="1"/>
        <v>85452.829891304355</v>
      </c>
      <c r="L8" s="155">
        <f t="shared" si="2"/>
        <v>85452.829891304355</v>
      </c>
      <c r="M8" s="137">
        <f t="shared" si="3"/>
        <v>85452.829891304355</v>
      </c>
    </row>
    <row r="9" spans="1:13" x14ac:dyDescent="0.35">
      <c r="A9" t="s">
        <v>254</v>
      </c>
      <c r="B9" s="166">
        <f>Projection!BE12</f>
        <v>906.44008515815085</v>
      </c>
      <c r="C9" s="155">
        <f>Projection!BF12</f>
        <v>6526.9414030819134</v>
      </c>
      <c r="D9" s="155">
        <f>Projection!BG12</f>
        <v>12798.991281427414</v>
      </c>
      <c r="E9" s="145">
        <f>Projection!BH12</f>
        <v>18173.192923763181</v>
      </c>
      <c r="F9" s="161">
        <f>Projection!BE35+Projection!BE58*Summary!$J$43+Projection!BE79*Summary!$K$43+Projection!BE100*Summary!$K$43+Projection!BE121*Summary!$L$43+Projection!BE142*Summary!$M$43</f>
        <v>1002.6992092457426</v>
      </c>
      <c r="G9" s="153">
        <f>Projection!BF35+Projection!BF58*Summary!$J$43+Projection!BF79*Summary!$K$43+Projection!BF100*Summary!$K$43+Projection!BF121*Summary!$L$43+Projection!BF142*Summary!$M$43</f>
        <v>7220.0679237631739</v>
      </c>
      <c r="H9" s="153">
        <f>Projection!BG35+Projection!BG58*Summary!$J$43+Projection!BG79*Summary!$K$43+Projection!BG100*Summary!$K$43+Projection!BG121*Summary!$L$43+Projection!BG142*Summary!$M$43</f>
        <v>14158.176196269258</v>
      </c>
      <c r="I9" s="162">
        <f>Projection!BH35+Projection!BH58*Summary!$J$43+Projection!BH79*Summary!$K$43+Projection!BH100*Summary!$K$43+Projection!BH121*Summary!$L$43+Projection!BH142*Summary!$M$43</f>
        <v>20103.089517437147</v>
      </c>
      <c r="J9" s="146">
        <f t="shared" si="0"/>
        <v>-96.259124087591772</v>
      </c>
      <c r="K9" s="155">
        <f t="shared" si="1"/>
        <v>-693.12652068126044</v>
      </c>
      <c r="L9" s="155">
        <f t="shared" si="2"/>
        <v>-1359.1849148418441</v>
      </c>
      <c r="M9" s="137">
        <f t="shared" si="3"/>
        <v>-1929.896593673966</v>
      </c>
    </row>
    <row r="10" spans="1:13" x14ac:dyDescent="0.35">
      <c r="A10" t="s">
        <v>109</v>
      </c>
      <c r="B10" s="166">
        <f>Projection!BE13</f>
        <v>0</v>
      </c>
      <c r="C10" s="155">
        <f>Projection!BF13</f>
        <v>0</v>
      </c>
      <c r="D10" s="155">
        <f>Projection!BG13</f>
        <v>0</v>
      </c>
      <c r="E10" s="145">
        <f>Projection!BH13</f>
        <v>0</v>
      </c>
      <c r="F10" s="161">
        <f>Projection!BE36+Projection!BE59*Summary!$J$43+Projection!BE80*Summary!$K$43+Projection!BE101*Summary!$K$43+Projection!BE122*Summary!$L$43+Projection!BE143*Summary!$M$43</f>
        <v>1775.390625</v>
      </c>
      <c r="G10" s="153">
        <f>Projection!BF36+Projection!BF59*Summary!$J$43+Projection!BF80*Summary!$K$43+Projection!BF101*Summary!$K$43+Projection!BF122*Summary!$L$43+Projection!BF143*Summary!$M$43</f>
        <v>21304.6875</v>
      </c>
      <c r="H10" s="153">
        <f>Projection!BG36+Projection!BG59*Summary!$J$43+Projection!BG80*Summary!$K$43+Projection!BG101*Summary!$K$43+Projection!BG122*Summary!$L$43+Projection!BG143*Summary!$M$43</f>
        <v>21304.6875</v>
      </c>
      <c r="I10" s="162">
        <f>Projection!BH36+Projection!BH59*Summary!$J$43+Projection!BH80*Summary!$K$43+Projection!BH101*Summary!$K$43+Projection!BH122*Summary!$L$43+Projection!BH143*Summary!$M$43</f>
        <v>21304.6875</v>
      </c>
      <c r="J10" s="146">
        <f t="shared" si="0"/>
        <v>-1775.390625</v>
      </c>
      <c r="K10" s="155">
        <f t="shared" si="1"/>
        <v>-21304.6875</v>
      </c>
      <c r="L10" s="155">
        <f t="shared" si="2"/>
        <v>-21304.6875</v>
      </c>
      <c r="M10" s="137">
        <f t="shared" si="3"/>
        <v>-21304.6875</v>
      </c>
    </row>
    <row r="11" spans="1:13" hidden="1" x14ac:dyDescent="0.35">
      <c r="A11" t="s">
        <v>196</v>
      </c>
      <c r="B11" s="166">
        <f>Projection!BE14</f>
        <v>0</v>
      </c>
      <c r="C11" s="155">
        <f>Projection!BF14</f>
        <v>0</v>
      </c>
      <c r="D11" s="155">
        <f>Projection!BG14</f>
        <v>0</v>
      </c>
      <c r="E11" s="145">
        <f>Projection!BH14</f>
        <v>0</v>
      </c>
      <c r="F11" s="161">
        <f>Projection!BE37+Projection!BE60*Summary!$J$43+Projection!BE81*Summary!$K$43+Projection!BE102*Summary!$K$43+Projection!BE123*Summary!$L$43+Projection!BE144*Summary!$M$43</f>
        <v>0</v>
      </c>
      <c r="G11" s="153">
        <f>Projection!BF37+Projection!BF60*Summary!$J$43+Projection!BF81*Summary!$K$43+Projection!BF102*Summary!$K$43+Projection!BF123*Summary!$L$43+Projection!BF144*Summary!$M$43</f>
        <v>0</v>
      </c>
      <c r="H11" s="153">
        <f>Projection!BG37+Projection!BG60*Summary!$J$43+Projection!BG81*Summary!$K$43+Projection!BG102*Summary!$K$43+Projection!BG123*Summary!$L$43+Projection!BG144*Summary!$M$43</f>
        <v>0</v>
      </c>
      <c r="I11" s="162">
        <f>Projection!BH37+Projection!BH60*Summary!$J$43+Projection!BH81*Summary!$K$43+Projection!BH102*Summary!$K$43+Projection!BH123*Summary!$L$43+Projection!BH144*Summary!$M$43</f>
        <v>0</v>
      </c>
      <c r="J11" s="146">
        <f t="shared" si="0"/>
        <v>0</v>
      </c>
      <c r="K11" s="155">
        <f t="shared" si="1"/>
        <v>0</v>
      </c>
      <c r="L11" s="155">
        <f t="shared" si="2"/>
        <v>0</v>
      </c>
      <c r="M11" s="137">
        <f t="shared" si="3"/>
        <v>0</v>
      </c>
    </row>
    <row r="12" spans="1:13" hidden="1" x14ac:dyDescent="0.35">
      <c r="A12" t="s">
        <v>197</v>
      </c>
      <c r="B12" s="166">
        <f>Projection!BE15</f>
        <v>0</v>
      </c>
      <c r="C12" s="155">
        <f>Projection!BF15</f>
        <v>0</v>
      </c>
      <c r="D12" s="155">
        <f>Projection!BG15</f>
        <v>0</v>
      </c>
      <c r="E12" s="145">
        <f>Projection!BH15</f>
        <v>0</v>
      </c>
      <c r="F12" s="161">
        <f>Projection!BE38+Projection!BE61*Summary!$J$43+Projection!BE82*Summary!$K$43+Projection!BE103*Summary!$K$43+Projection!BE124*Summary!$L$43+Projection!BE145*Summary!$M$43</f>
        <v>0</v>
      </c>
      <c r="G12" s="153">
        <f>Projection!BF38+Projection!BF61*Summary!$J$43+Projection!BF82*Summary!$K$43+Projection!BF103*Summary!$K$43+Projection!BF124*Summary!$L$43+Projection!BF145*Summary!$M$43</f>
        <v>0</v>
      </c>
      <c r="H12" s="153">
        <f>Projection!BG38+Projection!BG61*Summary!$J$43+Projection!BG82*Summary!$K$43+Projection!BG103*Summary!$K$43+Projection!BG124*Summary!$L$43+Projection!BG145*Summary!$M$43</f>
        <v>0</v>
      </c>
      <c r="I12" s="162">
        <f>Projection!BH38+Projection!BH61*Summary!$J$43+Projection!BH82*Summary!$K$43+Projection!BH103*Summary!$K$43+Projection!BH124*Summary!$L$43+Projection!BH145*Summary!$M$43</f>
        <v>0</v>
      </c>
      <c r="J12" s="146">
        <f t="shared" si="0"/>
        <v>0</v>
      </c>
      <c r="K12" s="155">
        <f t="shared" si="1"/>
        <v>0</v>
      </c>
      <c r="L12" s="155">
        <f t="shared" si="2"/>
        <v>0</v>
      </c>
      <c r="M12" s="137">
        <f t="shared" si="3"/>
        <v>0</v>
      </c>
    </row>
    <row r="13" spans="1:13" x14ac:dyDescent="0.35">
      <c r="A13" t="s">
        <v>86</v>
      </c>
      <c r="B13" s="166">
        <f>Projection!BE16</f>
        <v>-1271.5648351648351</v>
      </c>
      <c r="C13" s="155">
        <f>Projection!BF16</f>
        <v>-4387.2</v>
      </c>
      <c r="D13" s="155">
        <f>Projection!BG16</f>
        <v>-4387.2</v>
      </c>
      <c r="E13" s="145">
        <f>Projection!BH16</f>
        <v>-4387.2</v>
      </c>
      <c r="F13" s="161">
        <f>Projection!BE39+Projection!BE62*Summary!$J$43+Projection!BE83*Summary!$K$43+Projection!BE104*Summary!$K$43+Projection!BE125*Summary!$L$43+Projection!BE146*Summary!$M$43</f>
        <v>3588.9251373626371</v>
      </c>
      <c r="G13" s="153">
        <f>Projection!BF39+Projection!BF62*Summary!$J$43+Projection!BF83*Summary!$K$43+Projection!BF104*Summary!$K$43+Projection!BF125*Summary!$L$43+Projection!BF146*Summary!$M$43</f>
        <v>11512.499999999998</v>
      </c>
      <c r="H13" s="153">
        <f>Projection!BG39+Projection!BG62*Summary!$J$43+Projection!BG83*Summary!$K$43+Projection!BG104*Summary!$K$43+Projection!BG125*Summary!$L$43+Projection!BG146*Summary!$M$43</f>
        <v>11512.499999999998</v>
      </c>
      <c r="I13" s="162">
        <f>Projection!BH39+Projection!BH62*Summary!$J$43+Projection!BH83*Summary!$K$43+Projection!BH104*Summary!$K$43+Projection!BH125*Summary!$L$43+Projection!BH146*Summary!$M$43</f>
        <v>11512.499999999998</v>
      </c>
      <c r="J13" s="146">
        <f t="shared" si="0"/>
        <v>-4860.4899725274718</v>
      </c>
      <c r="K13" s="155">
        <f t="shared" si="1"/>
        <v>-15899.699999999997</v>
      </c>
      <c r="L13" s="155">
        <f t="shared" si="2"/>
        <v>-15899.699999999997</v>
      </c>
      <c r="M13" s="137">
        <f t="shared" si="3"/>
        <v>-15899.699999999997</v>
      </c>
    </row>
    <row r="14" spans="1:13" x14ac:dyDescent="0.35">
      <c r="A14" t="s">
        <v>5</v>
      </c>
      <c r="B14" s="166">
        <f>Projection!BE17</f>
        <v>-19011.199999999997</v>
      </c>
      <c r="C14" s="155">
        <f>Projection!BF17</f>
        <v>-19011.199999999997</v>
      </c>
      <c r="D14" s="155">
        <f>Projection!BG17</f>
        <v>-19011.199999999997</v>
      </c>
      <c r="E14" s="145">
        <f>Projection!BH17</f>
        <v>-19011.199999999997</v>
      </c>
      <c r="F14" s="161">
        <f>Projection!BE40+Projection!BE63*Summary!$J$43+Projection!BE84*Summary!$K$43+Projection!BE105*Summary!$K$43+Projection!BE126*Summary!$L$43+Projection!BE147*Summary!$M$43</f>
        <v>50692.9375</v>
      </c>
      <c r="G14" s="153">
        <f>Projection!BF40+Projection!BF63*Summary!$J$43+Projection!BF84*Summary!$K$43+Projection!BF105*Summary!$K$43+Projection!BF126*Summary!$L$43+Projection!BF147*Summary!$M$43</f>
        <v>49692.9375</v>
      </c>
      <c r="H14" s="153">
        <f>Projection!BG40+Projection!BG63*Summary!$J$43+Projection!BG84*Summary!$K$43+Projection!BG105*Summary!$K$43+Projection!BG126*Summary!$L$43+Projection!BG147*Summary!$M$43</f>
        <v>49692.9375</v>
      </c>
      <c r="I14" s="162">
        <f>Projection!BH40+Projection!BH63*Summary!$J$43+Projection!BH84*Summary!$K$43+Projection!BH105*Summary!$K$43+Projection!BH126*Summary!$L$43+Projection!BH147*Summary!$M$43</f>
        <v>49692.9375</v>
      </c>
      <c r="J14" s="146">
        <f t="shared" si="0"/>
        <v>-69704.137499999997</v>
      </c>
      <c r="K14" s="155">
        <f t="shared" si="1"/>
        <v>-68704.137499999997</v>
      </c>
      <c r="L14" s="155">
        <f t="shared" si="2"/>
        <v>-68704.137499999997</v>
      </c>
      <c r="M14" s="137">
        <f t="shared" si="3"/>
        <v>-68704.137499999997</v>
      </c>
    </row>
    <row r="15" spans="1:13" x14ac:dyDescent="0.35">
      <c r="A15" t="s">
        <v>89</v>
      </c>
      <c r="B15" s="166">
        <f>Projection!BE18</f>
        <v>3844.1967213114754</v>
      </c>
      <c r="C15" s="155">
        <f>Projection!BF18</f>
        <v>6144</v>
      </c>
      <c r="D15" s="155">
        <f>Projection!BG18</f>
        <v>6144</v>
      </c>
      <c r="E15" s="145">
        <f>Projection!BH18</f>
        <v>6144</v>
      </c>
      <c r="F15" s="161">
        <f>Projection!BE41+Projection!BE64*Summary!$J$43+Projection!BE85*Summary!$K$43+Projection!BE106*Summary!$K$43+Projection!BE127*Summary!$L$43+Projection!BE148*Summary!$M$43</f>
        <v>-1401.5300546448125</v>
      </c>
      <c r="G15" s="153">
        <f>Projection!BF41+Projection!BF64*Summary!$J$43+Projection!BF85*Summary!$K$43+Projection!BF106*Summary!$K$43+Projection!BF127*Summary!$L$43+Projection!BF148*Summary!$M$43</f>
        <v>-2239.9999999999927</v>
      </c>
      <c r="H15" s="153">
        <f>Projection!BG41+Projection!BG64*Summary!$J$43+Projection!BG85*Summary!$K$43+Projection!BG106*Summary!$K$43+Projection!BG127*Summary!$L$43+Projection!BG148*Summary!$M$43</f>
        <v>-2239.9999999999927</v>
      </c>
      <c r="I15" s="162">
        <f>Projection!BH41+Projection!BH64*Summary!$J$43+Projection!BH85*Summary!$K$43+Projection!BH106*Summary!$K$43+Projection!BH127*Summary!$L$43+Projection!BH148*Summary!$M$43</f>
        <v>-2239.9999999999927</v>
      </c>
      <c r="J15" s="146">
        <f t="shared" si="0"/>
        <v>5245.7267759562874</v>
      </c>
      <c r="K15" s="155">
        <f t="shared" si="1"/>
        <v>8383.9999999999927</v>
      </c>
      <c r="L15" s="155">
        <f t="shared" si="2"/>
        <v>8383.9999999999927</v>
      </c>
      <c r="M15" s="137">
        <f t="shared" si="3"/>
        <v>8383.9999999999927</v>
      </c>
    </row>
    <row r="16" spans="1:13" x14ac:dyDescent="0.35">
      <c r="A16" t="s">
        <v>110</v>
      </c>
      <c r="B16" s="166">
        <f>Projection!BE19</f>
        <v>-3544.5496350364979</v>
      </c>
      <c r="C16" s="155">
        <f>Projection!BF19</f>
        <v>-10076.648248175186</v>
      </c>
      <c r="D16" s="155">
        <f>Projection!BG19</f>
        <v>-16599.811021897818</v>
      </c>
      <c r="E16" s="145">
        <f>Projection!BH19</f>
        <v>-19587.360000000008</v>
      </c>
      <c r="F16" s="161">
        <f>Projection!BE42+Projection!BE65*Summary!$J$43+Projection!BE86*Summary!$K$43+Projection!BE107*Summary!$K$43+Projection!BE128*Summary!$L$43+Projection!BE149*Summary!$M$43</f>
        <v>-5165.1944571167842</v>
      </c>
      <c r="G16" s="153">
        <f>Projection!BF42+Projection!BF65*Summary!$J$43+Projection!BF86*Summary!$K$43+Projection!BF107*Summary!$K$43+Projection!BF128*Summary!$L$43+Projection!BF149*Summary!$M$43</f>
        <v>-14683.909956660573</v>
      </c>
      <c r="H16" s="153">
        <f>Projection!BG42+Projection!BG65*Summary!$J$43+Projection!BG86*Summary!$K$43+Projection!BG107*Summary!$K$43+Projection!BG128*Summary!$L$43+Projection!BG149*Summary!$M$43</f>
        <v>-24189.603957572988</v>
      </c>
      <c r="I16" s="162">
        <f>Projection!BH42+Projection!BH65*Summary!$J$43+Projection!BH86*Summary!$K$43+Projection!BH107*Summary!$K$43+Projection!BH128*Summary!$L$43+Projection!BH149*Summary!$M$43</f>
        <v>-28543.124999999989</v>
      </c>
      <c r="J16" s="146">
        <f t="shared" si="0"/>
        <v>1620.6448220802863</v>
      </c>
      <c r="K16" s="155">
        <f t="shared" si="1"/>
        <v>4607.2617084853864</v>
      </c>
      <c r="L16" s="155">
        <f t="shared" si="2"/>
        <v>7589.7929356751702</v>
      </c>
      <c r="M16" s="137">
        <f t="shared" si="3"/>
        <v>8955.7649999999812</v>
      </c>
    </row>
    <row r="17" spans="1:13" hidden="1" x14ac:dyDescent="0.35">
      <c r="A17" t="s">
        <v>192</v>
      </c>
      <c r="B17" s="166">
        <f>Projection!BE20</f>
        <v>0</v>
      </c>
      <c r="C17" s="155">
        <f>Projection!BF20</f>
        <v>0</v>
      </c>
      <c r="D17" s="155">
        <f>Projection!BG20</f>
        <v>0</v>
      </c>
      <c r="E17" s="145">
        <f>Projection!BH20</f>
        <v>0</v>
      </c>
      <c r="F17" s="161">
        <f>Projection!BE43+Projection!BE66*Summary!$J$43+Projection!BE87*Summary!$K$43+Projection!BE108*Summary!$K$43+Projection!BE129*Summary!$L$43+Projection!BE150*Summary!$M$43</f>
        <v>0</v>
      </c>
      <c r="G17" s="153">
        <f>Projection!BF43+Projection!BF66*Summary!$J$43+Projection!BF87*Summary!$K$43+Projection!BF108*Summary!$K$43+Projection!BF129*Summary!$L$43+Projection!BF150*Summary!$M$43</f>
        <v>0</v>
      </c>
      <c r="H17" s="153">
        <f>Projection!BG43+Projection!BG66*Summary!$J$43+Projection!BG87*Summary!$K$43+Projection!BG108*Summary!$K$43+Projection!BG129*Summary!$L$43+Projection!BG150*Summary!$M$43</f>
        <v>0</v>
      </c>
      <c r="I17" s="162">
        <f>Projection!BH43+Projection!BH66*Summary!$J$43+Projection!BH87*Summary!$K$43+Projection!BH108*Summary!$K$43+Projection!BH129*Summary!$L$43+Projection!BH150*Summary!$M$43</f>
        <v>0</v>
      </c>
      <c r="J17" s="146">
        <f t="shared" si="0"/>
        <v>0</v>
      </c>
      <c r="K17" s="155">
        <f t="shared" si="1"/>
        <v>0</v>
      </c>
      <c r="L17" s="155">
        <f t="shared" si="2"/>
        <v>0</v>
      </c>
      <c r="M17" s="137">
        <f t="shared" si="3"/>
        <v>0</v>
      </c>
    </row>
    <row r="18" spans="1:13" hidden="1" x14ac:dyDescent="0.35">
      <c r="A18" t="s">
        <v>193</v>
      </c>
      <c r="B18" s="166">
        <f>Projection!BE21</f>
        <v>0</v>
      </c>
      <c r="C18" s="155">
        <f>Projection!BF21</f>
        <v>0</v>
      </c>
      <c r="D18" s="155">
        <f>Projection!BG21</f>
        <v>0</v>
      </c>
      <c r="E18" s="145">
        <f>Projection!BH21</f>
        <v>0</v>
      </c>
      <c r="F18" s="161">
        <f>Projection!BE44+Projection!BE67*Summary!$J$43+Projection!BE88*Summary!$K$43+Projection!BE109*Summary!$K$43+Projection!BE130*Summary!$L$43+Projection!BE151*Summary!$M$43</f>
        <v>0</v>
      </c>
      <c r="G18" s="153">
        <f>Projection!BF44+Projection!BF67*Summary!$J$43+Projection!BF88*Summary!$K$43+Projection!BF109*Summary!$K$43+Projection!BF130*Summary!$L$43+Projection!BF151*Summary!$M$43</f>
        <v>0</v>
      </c>
      <c r="H18" s="153">
        <f>Projection!BG44+Projection!BG67*Summary!$J$43+Projection!BG88*Summary!$K$43+Projection!BG109*Summary!$K$43+Projection!BG130*Summary!$L$43+Projection!BG151*Summary!$M$43</f>
        <v>0</v>
      </c>
      <c r="I18" s="162">
        <f>Projection!BH44+Projection!BH67*Summary!$J$43+Projection!BH88*Summary!$K$43+Projection!BH109*Summary!$K$43+Projection!BH130*Summary!$L$43+Projection!BH151*Summary!$M$43</f>
        <v>0</v>
      </c>
      <c r="J18" s="146">
        <f t="shared" si="0"/>
        <v>0</v>
      </c>
      <c r="K18" s="155">
        <f t="shared" si="1"/>
        <v>0</v>
      </c>
      <c r="L18" s="155">
        <f t="shared" si="2"/>
        <v>0</v>
      </c>
      <c r="M18" s="137">
        <f t="shared" si="3"/>
        <v>0</v>
      </c>
    </row>
    <row r="19" spans="1:13" hidden="1" x14ac:dyDescent="0.35">
      <c r="A19" t="s">
        <v>194</v>
      </c>
      <c r="B19" s="166">
        <f>Projection!BE22</f>
        <v>0</v>
      </c>
      <c r="C19" s="155">
        <f>Projection!BF22</f>
        <v>0</v>
      </c>
      <c r="D19" s="155">
        <f>Projection!BG22</f>
        <v>0</v>
      </c>
      <c r="E19" s="145">
        <f>Projection!BH22</f>
        <v>0</v>
      </c>
      <c r="F19" s="161">
        <f>Projection!BE45+Projection!BE68*Summary!$J$43+Projection!BE89*Summary!$K$43+Projection!BE110*Summary!$K$43+Projection!BE131*Summary!$L$43+Projection!BE152*Summary!$M$43</f>
        <v>0</v>
      </c>
      <c r="G19" s="153">
        <f>Projection!BF45+Projection!BF68*Summary!$J$43+Projection!BF89*Summary!$K$43+Projection!BF110*Summary!$K$43+Projection!BF131*Summary!$L$43+Projection!BF152*Summary!$M$43</f>
        <v>0</v>
      </c>
      <c r="H19" s="153">
        <f>Projection!BG45+Projection!BG68*Summary!$J$43+Projection!BG89*Summary!$K$43+Projection!BG110*Summary!$K$43+Projection!BG131*Summary!$L$43+Projection!BG152*Summary!$M$43</f>
        <v>0</v>
      </c>
      <c r="I19" s="162">
        <f>Projection!BH45+Projection!BH68*Summary!$J$43+Projection!BH89*Summary!$K$43+Projection!BH110*Summary!$K$43+Projection!BH131*Summary!$L$43+Projection!BH152*Summary!$M$43</f>
        <v>0</v>
      </c>
      <c r="J19" s="146">
        <f t="shared" si="0"/>
        <v>0</v>
      </c>
      <c r="K19" s="155">
        <f t="shared" si="1"/>
        <v>0</v>
      </c>
      <c r="L19" s="155">
        <f t="shared" si="2"/>
        <v>0</v>
      </c>
      <c r="M19" s="137">
        <f t="shared" si="3"/>
        <v>0</v>
      </c>
    </row>
    <row r="20" spans="1:13" ht="29" x14ac:dyDescent="0.35">
      <c r="A20" s="168" t="s">
        <v>177</v>
      </c>
      <c r="B20" s="166">
        <f>Projection!BE23</f>
        <v>-731.19999999999982</v>
      </c>
      <c r="C20" s="155">
        <f>Projection!BF23</f>
        <v>-731.19999999999982</v>
      </c>
      <c r="D20" s="155">
        <f>Projection!BG23</f>
        <v>-731.19999999999982</v>
      </c>
      <c r="E20" s="145">
        <f>Projection!BH23</f>
        <v>0</v>
      </c>
      <c r="F20" s="161">
        <f>Projection!BE46+Projection!BE69*Summary!$J$43+Projection!BE90*Summary!$K$43+Projection!BE111*Summary!$K$43+Projection!BE132*Summary!$L$43+Projection!BE153*Summary!$M$43</f>
        <v>1718.75</v>
      </c>
      <c r="G20" s="153">
        <f>Projection!BF46+Projection!BF69*Summary!$J$43+Projection!BF90*Summary!$K$43+Projection!BF111*Summary!$K$43+Projection!BF132*Summary!$L$43+Projection!BF153*Summary!$M$43</f>
        <v>1718.75</v>
      </c>
      <c r="H20" s="153">
        <f>Projection!BG46+Projection!BG69*Summary!$J$43+Projection!BG90*Summary!$K$43+Projection!BG111*Summary!$K$43+Projection!BG132*Summary!$L$43+Projection!BG153*Summary!$M$43</f>
        <v>1718.75</v>
      </c>
      <c r="I20" s="162">
        <f>Projection!BH46+Projection!BH69*Summary!$J$43+Projection!BH90*Summary!$K$43+Projection!BH111*Summary!$K$43+Projection!BH132*Summary!$L$43+Projection!BH153*Summary!$M$43</f>
        <v>1718.75</v>
      </c>
      <c r="J20" s="146">
        <f t="shared" si="0"/>
        <v>-2449.9499999999998</v>
      </c>
      <c r="K20" s="155">
        <f t="shared" si="1"/>
        <v>-2449.9499999999998</v>
      </c>
      <c r="L20" s="155">
        <f t="shared" si="2"/>
        <v>-2449.9499999999998</v>
      </c>
      <c r="M20" s="137">
        <f t="shared" si="3"/>
        <v>-1718.75</v>
      </c>
    </row>
    <row r="21" spans="1:13" x14ac:dyDescent="0.35">
      <c r="A21" s="140" t="s">
        <v>280</v>
      </c>
      <c r="B21" s="167">
        <f t="shared" ref="B21:M21" si="4">SUM(B4:B20)</f>
        <v>18869.63537974656</v>
      </c>
      <c r="C21" s="154">
        <f t="shared" si="4"/>
        <v>10034.710546211092</v>
      </c>
      <c r="D21" s="154">
        <f t="shared" si="4"/>
        <v>9783.5976508339554</v>
      </c>
      <c r="E21" s="147">
        <f t="shared" si="4"/>
        <v>12901.450315067537</v>
      </c>
      <c r="F21" s="163">
        <f t="shared" si="4"/>
        <v>13799.868584846783</v>
      </c>
      <c r="G21" s="154">
        <f t="shared" si="4"/>
        <v>5642.2204671026047</v>
      </c>
      <c r="H21" s="154">
        <f t="shared" si="4"/>
        <v>3074.6347386962734</v>
      </c>
      <c r="I21" s="164">
        <f t="shared" si="4"/>
        <v>4666.0270174371653</v>
      </c>
      <c r="J21" s="148">
        <f t="shared" si="4"/>
        <v>5069.7667948997741</v>
      </c>
      <c r="K21" s="154">
        <f t="shared" si="4"/>
        <v>4392.4900791084719</v>
      </c>
      <c r="L21" s="154">
        <f t="shared" si="4"/>
        <v>6708.9629121376829</v>
      </c>
      <c r="M21" s="141">
        <f t="shared" si="4"/>
        <v>8235.4232976303647</v>
      </c>
    </row>
    <row r="22" spans="1:13" x14ac:dyDescent="0.35">
      <c r="J22" s="189"/>
      <c r="K22" s="189"/>
      <c r="L22" s="189"/>
      <c r="M22" s="189"/>
    </row>
    <row r="23" spans="1:13" x14ac:dyDescent="0.35">
      <c r="A23" t="s">
        <v>319</v>
      </c>
      <c r="B23" s="142">
        <f>SUM(B4:B5)</f>
        <v>60000</v>
      </c>
      <c r="C23" s="142">
        <f>SUM(C4:C5)</f>
        <v>60000</v>
      </c>
      <c r="D23" s="142">
        <f>SUM(D4:D5)</f>
        <v>60000</v>
      </c>
      <c r="E23" s="142">
        <f>SUM(E4:E5)</f>
        <v>60000</v>
      </c>
    </row>
    <row r="24" spans="1:13" x14ac:dyDescent="0.35">
      <c r="A24" t="s">
        <v>308</v>
      </c>
      <c r="B24" s="142">
        <f>B21-B4</f>
        <v>-41130.364620253444</v>
      </c>
      <c r="C24" s="142">
        <f>C21-C4</f>
        <v>-49965.289453788908</v>
      </c>
      <c r="D24" s="142">
        <f>D21-D4</f>
        <v>-50216.402349166048</v>
      </c>
      <c r="E24" s="142">
        <f>E21-E4</f>
        <v>-47098.549684932463</v>
      </c>
      <c r="M24" s="188"/>
    </row>
  </sheetData>
  <phoneticPr fontId="12" type="noConversion"/>
  <pageMargins left="0.7" right="0.7" top="0.75" bottom="0.75" header="0.3" footer="0.3"/>
  <pageSetup orientation="portrait" verticalDpi="3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H74"/>
  <sheetViews>
    <sheetView topLeftCell="A2" workbookViewId="0">
      <selection activeCell="B39" sqref="B39:F39"/>
    </sheetView>
  </sheetViews>
  <sheetFormatPr defaultColWidth="9.08984375" defaultRowHeight="21" customHeight="1" x14ac:dyDescent="0.35"/>
  <cols>
    <col min="1" max="1" width="5.08984375" style="3" bestFit="1" customWidth="1"/>
    <col min="2" max="2" width="54.36328125" style="3" customWidth="1"/>
    <col min="3" max="3" width="15.36328125" style="3" customWidth="1"/>
    <col min="4" max="5" width="15.54296875" style="3" customWidth="1"/>
    <col min="6" max="6" width="19.54296875" style="3" bestFit="1" customWidth="1"/>
    <col min="7" max="7" width="22.36328125" style="5" bestFit="1" customWidth="1"/>
    <col min="8" max="8" width="15.54296875" style="5" customWidth="1"/>
    <col min="9" max="9" width="15.54296875" style="3" customWidth="1"/>
    <col min="10" max="10" width="19.54296875" style="3" customWidth="1"/>
    <col min="11" max="16384" width="9.08984375" style="3"/>
  </cols>
  <sheetData>
    <row r="1" spans="1:4" ht="21" customHeight="1" x14ac:dyDescent="0.35">
      <c r="A1" s="33"/>
      <c r="B1" s="20"/>
      <c r="C1" s="20"/>
      <c r="D1" s="20"/>
    </row>
    <row r="2" spans="1:4" ht="21" customHeight="1" x14ac:dyDescent="0.35">
      <c r="B2" s="38" t="s">
        <v>92</v>
      </c>
      <c r="C2" s="104">
        <f>Enrolled_patients</f>
        <v>10000</v>
      </c>
      <c r="D2" s="20"/>
    </row>
    <row r="4" spans="1:4" ht="21" customHeight="1" x14ac:dyDescent="0.35">
      <c r="C4" s="102" t="s">
        <v>16</v>
      </c>
      <c r="D4" s="102" t="s">
        <v>124</v>
      </c>
    </row>
    <row r="5" spans="1:4" ht="21" customHeight="1" x14ac:dyDescent="0.35">
      <c r="B5" s="38" t="s">
        <v>255</v>
      </c>
      <c r="C5" s="173">
        <v>0.05</v>
      </c>
      <c r="D5" s="117"/>
    </row>
    <row r="7" spans="1:4" ht="21" customHeight="1" x14ac:dyDescent="0.35">
      <c r="B7" s="38" t="s">
        <v>260</v>
      </c>
      <c r="C7" s="109">
        <f>IF(D5&gt;0,D5,C2*C5)</f>
        <v>500</v>
      </c>
    </row>
    <row r="8" spans="1:4" ht="21" customHeight="1" x14ac:dyDescent="0.35">
      <c r="B8" s="38" t="s">
        <v>298</v>
      </c>
      <c r="C8" s="174">
        <v>0</v>
      </c>
    </row>
    <row r="9" spans="1:4" ht="21" customHeight="1" x14ac:dyDescent="0.35">
      <c r="B9" s="38" t="s">
        <v>256</v>
      </c>
      <c r="C9" s="109">
        <f>C7-C8</f>
        <v>500</v>
      </c>
    </row>
    <row r="10" spans="1:4" ht="21" customHeight="1" x14ac:dyDescent="0.35">
      <c r="B10" s="38" t="s">
        <v>240</v>
      </c>
      <c r="C10" s="174">
        <f>C7</f>
        <v>500</v>
      </c>
    </row>
    <row r="12" spans="1:4" ht="21" customHeight="1" x14ac:dyDescent="0.35">
      <c r="B12" s="38" t="s">
        <v>243</v>
      </c>
      <c r="C12" s="125">
        <v>43862</v>
      </c>
    </row>
    <row r="13" spans="1:4" ht="21" customHeight="1" x14ac:dyDescent="0.35">
      <c r="B13" s="38" t="s">
        <v>100</v>
      </c>
      <c r="C13" s="117">
        <f>36</f>
        <v>36</v>
      </c>
    </row>
    <row r="15" spans="1:4" ht="21" customHeight="1" x14ac:dyDescent="0.35">
      <c r="B15" s="38" t="s">
        <v>257</v>
      </c>
      <c r="C15" s="23" t="s">
        <v>292</v>
      </c>
    </row>
    <row r="17" spans="2:6" ht="21" customHeight="1" x14ac:dyDescent="0.35">
      <c r="B17" s="225" t="s">
        <v>258</v>
      </c>
      <c r="C17" s="225"/>
      <c r="D17" s="225"/>
      <c r="E17" s="225"/>
      <c r="F17" s="225"/>
    </row>
    <row r="19" spans="2:6" ht="21" customHeight="1" x14ac:dyDescent="0.35">
      <c r="C19" s="198" t="s">
        <v>230</v>
      </c>
      <c r="D19" s="198"/>
      <c r="E19" s="198"/>
      <c r="F19" s="198" t="s">
        <v>231</v>
      </c>
    </row>
    <row r="20" spans="2:6" ht="21" customHeight="1" x14ac:dyDescent="0.35">
      <c r="B20" s="105" t="s">
        <v>167</v>
      </c>
      <c r="C20" s="102" t="s">
        <v>232</v>
      </c>
      <c r="D20" s="102" t="s">
        <v>233</v>
      </c>
      <c r="E20" s="102" t="s">
        <v>228</v>
      </c>
      <c r="F20" s="198"/>
    </row>
    <row r="21" spans="2:6" ht="21" customHeight="1" x14ac:dyDescent="0.35">
      <c r="B21" s="110" t="s">
        <v>293</v>
      </c>
      <c r="C21" s="93"/>
      <c r="D21" s="93">
        <v>75</v>
      </c>
      <c r="E21" s="93">
        <v>0</v>
      </c>
      <c r="F21" s="93">
        <v>1</v>
      </c>
    </row>
    <row r="22" spans="2:6" ht="21" customHeight="1" x14ac:dyDescent="0.35">
      <c r="B22" s="110" t="s">
        <v>294</v>
      </c>
      <c r="C22" s="93">
        <v>15</v>
      </c>
      <c r="D22" s="93"/>
      <c r="E22" s="132">
        <f>Average_GP_Revenue</f>
        <v>12</v>
      </c>
      <c r="F22" s="93">
        <v>1</v>
      </c>
    </row>
    <row r="23" spans="2:6" ht="21" customHeight="1" x14ac:dyDescent="0.35">
      <c r="B23" s="110" t="s">
        <v>295</v>
      </c>
      <c r="C23" s="93"/>
      <c r="D23" s="93">
        <v>30</v>
      </c>
      <c r="E23" s="132">
        <f>D23/Nurse_Consult_Length*Average_Nurse_Revenue</f>
        <v>2</v>
      </c>
      <c r="F23" s="93">
        <v>2</v>
      </c>
    </row>
    <row r="24" spans="2:6" ht="21" customHeight="1" x14ac:dyDescent="0.35">
      <c r="B24" s="110" t="s">
        <v>296</v>
      </c>
      <c r="C24" s="93"/>
      <c r="D24" s="93">
        <v>10</v>
      </c>
      <c r="E24" s="132">
        <v>0</v>
      </c>
      <c r="F24" s="93">
        <v>8</v>
      </c>
    </row>
    <row r="25" spans="2:6" ht="21" customHeight="1" x14ac:dyDescent="0.35">
      <c r="B25" s="110"/>
      <c r="C25" s="93"/>
      <c r="D25" s="93"/>
      <c r="E25" s="93"/>
      <c r="F25" s="93"/>
    </row>
    <row r="26" spans="2:6" ht="21" customHeight="1" x14ac:dyDescent="0.35">
      <c r="B26" s="110"/>
      <c r="C26" s="93"/>
      <c r="D26" s="93"/>
      <c r="E26" s="93"/>
      <c r="F26" s="93"/>
    </row>
    <row r="27" spans="2:6" ht="21" customHeight="1" x14ac:dyDescent="0.35">
      <c r="B27" s="110"/>
      <c r="C27" s="93"/>
      <c r="D27" s="93"/>
      <c r="E27" s="93"/>
      <c r="F27" s="93"/>
    </row>
    <row r="28" spans="2:6" ht="21" customHeight="1" x14ac:dyDescent="0.35">
      <c r="B28" s="110"/>
      <c r="C28" s="93"/>
      <c r="D28" s="93"/>
      <c r="E28" s="93"/>
      <c r="F28" s="93"/>
    </row>
    <row r="29" spans="2:6" ht="21" customHeight="1" x14ac:dyDescent="0.35">
      <c r="B29" s="110"/>
      <c r="C29" s="93"/>
      <c r="D29" s="93"/>
      <c r="E29" s="93"/>
      <c r="F29" s="93"/>
    </row>
    <row r="30" spans="2:6" ht="21" customHeight="1" x14ac:dyDescent="0.35">
      <c r="B30" s="42"/>
    </row>
    <row r="31" spans="2:6" ht="21" customHeight="1" x14ac:dyDescent="0.35">
      <c r="B31" s="105" t="s">
        <v>229</v>
      </c>
      <c r="C31" s="80">
        <f>-SUMPRODUCT($F$21:$F$30,C21:C30)*$C$9</f>
        <v>-7500</v>
      </c>
      <c r="D31" s="80">
        <f>-SUMPRODUCT($F$21:$F$30,D21:D30)*$C$9</f>
        <v>-107500</v>
      </c>
    </row>
    <row r="32" spans="2:6" ht="21" customHeight="1" x14ac:dyDescent="0.35">
      <c r="B32" s="105" t="s">
        <v>216</v>
      </c>
      <c r="C32" s="80">
        <f>IFERROR(C31/GP_Consult_Length,0)</f>
        <v>-500</v>
      </c>
      <c r="D32" s="80">
        <f>IFERROR(D31/Nurse_Consult_Length,0)</f>
        <v>-7166.666666666667</v>
      </c>
      <c r="E32" s="102" t="s">
        <v>238</v>
      </c>
      <c r="F32" s="102" t="s">
        <v>299</v>
      </c>
    </row>
    <row r="33" spans="2:6" ht="21" customHeight="1" x14ac:dyDescent="0.35">
      <c r="B33" s="105" t="s">
        <v>237</v>
      </c>
      <c r="C33" s="80">
        <f>C32*Average_GP_Revenue</f>
        <v>-6000</v>
      </c>
      <c r="D33" s="80">
        <f>D32*Average_Nurse_Revenue</f>
        <v>-7166.666666666667</v>
      </c>
      <c r="E33" s="80">
        <f>SUMPRODUCT($F$21:$F$30,E21:E30)*$C$9</f>
        <v>8000</v>
      </c>
      <c r="F33" s="80">
        <f>SUM(C33:E33)</f>
        <v>-5166.6666666666679</v>
      </c>
    </row>
    <row r="34" spans="2:6" ht="21" customHeight="1" x14ac:dyDescent="0.35">
      <c r="B34" s="42"/>
      <c r="C34" s="5"/>
      <c r="D34" s="5"/>
    </row>
    <row r="35" spans="2:6" ht="21" customHeight="1" x14ac:dyDescent="0.35">
      <c r="B35" s="225" t="s">
        <v>239</v>
      </c>
      <c r="C35" s="225"/>
      <c r="D35" s="225"/>
      <c r="E35" s="225"/>
      <c r="F35" s="225"/>
    </row>
    <row r="36" spans="2:6" ht="21" customHeight="1" x14ac:dyDescent="0.35">
      <c r="B36" s="42"/>
      <c r="C36" s="5"/>
      <c r="D36" s="5"/>
    </row>
    <row r="37" spans="2:6" ht="21" customHeight="1" x14ac:dyDescent="0.35">
      <c r="C37" s="198" t="s">
        <v>230</v>
      </c>
      <c r="D37" s="198"/>
      <c r="E37" s="198"/>
      <c r="F37" s="198" t="s">
        <v>231</v>
      </c>
    </row>
    <row r="38" spans="2:6" ht="21" customHeight="1" x14ac:dyDescent="0.35">
      <c r="B38" s="105" t="s">
        <v>167</v>
      </c>
      <c r="C38" s="102" t="s">
        <v>232</v>
      </c>
      <c r="D38" s="102" t="s">
        <v>233</v>
      </c>
      <c r="E38" s="102" t="s">
        <v>228</v>
      </c>
      <c r="F38" s="198"/>
    </row>
    <row r="39" spans="2:6" ht="21" customHeight="1" x14ac:dyDescent="0.35">
      <c r="B39" s="110" t="s">
        <v>297</v>
      </c>
      <c r="C39" s="93">
        <v>15</v>
      </c>
      <c r="D39" s="93"/>
      <c r="E39" s="93">
        <v>0</v>
      </c>
      <c r="F39" s="93">
        <v>4</v>
      </c>
    </row>
    <row r="40" spans="2:6" ht="21" customHeight="1" x14ac:dyDescent="0.35">
      <c r="B40" s="110"/>
      <c r="C40" s="93"/>
      <c r="D40" s="93"/>
      <c r="E40" s="132"/>
      <c r="F40" s="93"/>
    </row>
    <row r="41" spans="2:6" ht="21" customHeight="1" x14ac:dyDescent="0.35">
      <c r="B41" s="110"/>
      <c r="C41" s="93"/>
      <c r="D41" s="93"/>
      <c r="E41" s="93"/>
      <c r="F41" s="93"/>
    </row>
    <row r="42" spans="2:6" ht="21" customHeight="1" x14ac:dyDescent="0.35">
      <c r="B42" s="110"/>
      <c r="C42" s="93"/>
      <c r="D42" s="93"/>
      <c r="E42" s="93"/>
      <c r="F42" s="93"/>
    </row>
    <row r="43" spans="2:6" ht="21" customHeight="1" x14ac:dyDescent="0.35">
      <c r="B43" s="110"/>
      <c r="C43" s="93"/>
      <c r="D43" s="93"/>
      <c r="E43" s="93"/>
      <c r="F43" s="93"/>
    </row>
    <row r="44" spans="2:6" ht="21" customHeight="1" x14ac:dyDescent="0.35">
      <c r="B44" s="110"/>
      <c r="C44" s="93"/>
      <c r="D44" s="93"/>
      <c r="E44" s="93"/>
      <c r="F44" s="93"/>
    </row>
    <row r="45" spans="2:6" ht="21" customHeight="1" x14ac:dyDescent="0.35">
      <c r="B45" s="110"/>
      <c r="C45" s="93"/>
      <c r="D45" s="93"/>
      <c r="E45" s="93"/>
      <c r="F45" s="93"/>
    </row>
    <row r="46" spans="2:6" ht="21" customHeight="1" x14ac:dyDescent="0.35">
      <c r="B46" s="42"/>
      <c r="C46" s="5"/>
      <c r="D46" s="5"/>
    </row>
    <row r="47" spans="2:6" ht="21" customHeight="1" x14ac:dyDescent="0.35">
      <c r="B47" s="105" t="s">
        <v>229</v>
      </c>
      <c r="C47" s="80">
        <f>-SUMPRODUCT($F$39:$F$46,C39:C46)*$C$10</f>
        <v>-30000</v>
      </c>
      <c r="D47" s="80">
        <f>-SUMPRODUCT($F$39:$F$46,D39:D46)*$C$10</f>
        <v>0</v>
      </c>
    </row>
    <row r="48" spans="2:6" ht="21" customHeight="1" x14ac:dyDescent="0.35">
      <c r="B48" s="105" t="s">
        <v>216</v>
      </c>
      <c r="C48" s="80">
        <f>IFERROR(C47/GP_Consult_Length,0)</f>
        <v>-2000</v>
      </c>
      <c r="D48" s="80">
        <f>IFERROR(D47/Nurse_Consult_Length,0)</f>
        <v>0</v>
      </c>
      <c r="E48" s="102" t="s">
        <v>238</v>
      </c>
      <c r="F48" s="102" t="s">
        <v>241</v>
      </c>
    </row>
    <row r="49" spans="2:6" ht="21" customHeight="1" x14ac:dyDescent="0.35">
      <c r="B49" s="105" t="s">
        <v>234</v>
      </c>
      <c r="C49" s="80">
        <f>C48*Average_GP_Revenue</f>
        <v>-24000</v>
      </c>
      <c r="D49" s="80">
        <f>D48*Average_Nurse_Revenue</f>
        <v>0</v>
      </c>
      <c r="E49" s="80">
        <f>SUMPRODUCT($F$39:$F$46,E39:E46)*$C$10</f>
        <v>0</v>
      </c>
      <c r="F49" s="80">
        <f>SUM(C49:E49)</f>
        <v>-24000</v>
      </c>
    </row>
    <row r="50" spans="2:6" ht="21" customHeight="1" x14ac:dyDescent="0.35">
      <c r="B50" s="42"/>
      <c r="C50" s="5"/>
      <c r="D50" s="5"/>
    </row>
    <row r="51" spans="2:6" ht="21" customHeight="1" x14ac:dyDescent="0.35">
      <c r="B51" s="226" t="s">
        <v>259</v>
      </c>
      <c r="C51" s="227"/>
      <c r="D51" s="227"/>
      <c r="E51" s="227"/>
      <c r="F51" s="228"/>
    </row>
    <row r="52" spans="2:6" ht="21" customHeight="1" x14ac:dyDescent="0.35">
      <c r="B52" s="42"/>
      <c r="C52" s="5"/>
      <c r="D52" s="5"/>
    </row>
    <row r="53" spans="2:6" ht="21" customHeight="1" x14ac:dyDescent="0.35">
      <c r="B53" s="105" t="s">
        <v>235</v>
      </c>
      <c r="C53" s="80">
        <f>C47-C31</f>
        <v>-22500</v>
      </c>
      <c r="D53" s="80">
        <f>D47-D31</f>
        <v>107500</v>
      </c>
      <c r="E53" s="102" t="s">
        <v>238</v>
      </c>
      <c r="F53" s="102" t="s">
        <v>241</v>
      </c>
    </row>
    <row r="54" spans="2:6" ht="21" customHeight="1" x14ac:dyDescent="0.35">
      <c r="B54" s="105" t="s">
        <v>236</v>
      </c>
      <c r="C54" s="80">
        <f>C33-C49</f>
        <v>18000</v>
      </c>
      <c r="D54" s="80">
        <f t="shared" ref="D54:F54" si="0">D33-D49</f>
        <v>-7166.666666666667</v>
      </c>
      <c r="E54" s="80">
        <f t="shared" si="0"/>
        <v>8000</v>
      </c>
      <c r="F54" s="80">
        <f t="shared" si="0"/>
        <v>18833.333333333332</v>
      </c>
    </row>
    <row r="55" spans="2:6" ht="21" customHeight="1" x14ac:dyDescent="0.35">
      <c r="B55" s="7"/>
      <c r="C55" s="11"/>
      <c r="D55" s="11"/>
      <c r="E55" s="7"/>
      <c r="F55" s="7"/>
    </row>
    <row r="56" spans="2:6" ht="21" customHeight="1" x14ac:dyDescent="0.35">
      <c r="B56" s="41" t="s">
        <v>66</v>
      </c>
      <c r="C56" s="1"/>
      <c r="D56" s="11"/>
      <c r="E56" s="7"/>
      <c r="F56" s="7"/>
    </row>
    <row r="57" spans="2:6" ht="21" customHeight="1" x14ac:dyDescent="0.35">
      <c r="B57" s="43" t="s">
        <v>38</v>
      </c>
      <c r="C57" s="31" t="s">
        <v>39</v>
      </c>
      <c r="D57" s="11"/>
      <c r="E57" s="7"/>
      <c r="F57" s="7"/>
    </row>
    <row r="58" spans="2:6" ht="21" customHeight="1" x14ac:dyDescent="0.35">
      <c r="B58" s="111"/>
      <c r="C58" s="112"/>
      <c r="D58" s="11"/>
      <c r="E58" s="7"/>
      <c r="F58" s="7"/>
    </row>
    <row r="59" spans="2:6" ht="21" customHeight="1" x14ac:dyDescent="0.35">
      <c r="B59" s="111"/>
      <c r="C59" s="112"/>
      <c r="D59" s="11"/>
      <c r="E59" s="7"/>
      <c r="F59" s="7"/>
    </row>
    <row r="60" spans="2:6" ht="21" customHeight="1" x14ac:dyDescent="0.35">
      <c r="B60" s="111"/>
      <c r="C60" s="112"/>
      <c r="D60" s="5"/>
    </row>
    <row r="61" spans="2:6" ht="21" customHeight="1" x14ac:dyDescent="0.35">
      <c r="B61" s="45"/>
      <c r="C61" s="1"/>
      <c r="D61" s="5"/>
    </row>
    <row r="62" spans="2:6" ht="21" customHeight="1" x14ac:dyDescent="0.35">
      <c r="B62" s="38" t="s">
        <v>207</v>
      </c>
      <c r="C62" s="19">
        <f>SUM(C58:C61)</f>
        <v>0</v>
      </c>
      <c r="D62" s="5"/>
    </row>
    <row r="63" spans="2:6" ht="21" customHeight="1" x14ac:dyDescent="0.35">
      <c r="D63" s="5"/>
    </row>
    <row r="64" spans="2:6" ht="21" customHeight="1" x14ac:dyDescent="0.35">
      <c r="B64" s="41" t="s">
        <v>67</v>
      </c>
      <c r="C64" s="5"/>
      <c r="D64" s="5"/>
    </row>
    <row r="65" spans="2:4" ht="21" customHeight="1" x14ac:dyDescent="0.35">
      <c r="B65" s="43" t="s">
        <v>38</v>
      </c>
      <c r="C65" s="31" t="s">
        <v>39</v>
      </c>
      <c r="D65" s="5"/>
    </row>
    <row r="66" spans="2:4" ht="21" customHeight="1" x14ac:dyDescent="0.35">
      <c r="B66" s="44"/>
      <c r="C66" s="27"/>
      <c r="D66" s="5"/>
    </row>
    <row r="67" spans="2:4" ht="21" customHeight="1" x14ac:dyDescent="0.35">
      <c r="B67" s="44"/>
      <c r="C67" s="27"/>
      <c r="D67" s="5"/>
    </row>
    <row r="68" spans="2:4" ht="21" customHeight="1" x14ac:dyDescent="0.35">
      <c r="B68" s="44"/>
      <c r="C68" s="27"/>
      <c r="D68" s="5"/>
    </row>
    <row r="69" spans="2:4" ht="21" customHeight="1" x14ac:dyDescent="0.35">
      <c r="B69" s="45"/>
      <c r="C69" s="1"/>
      <c r="D69" s="5"/>
    </row>
    <row r="70" spans="2:4" ht="21" customHeight="1" x14ac:dyDescent="0.35">
      <c r="B70" s="38" t="s">
        <v>36</v>
      </c>
      <c r="C70" s="19">
        <f>SUM(C66:C69)</f>
        <v>0</v>
      </c>
      <c r="D70" s="5"/>
    </row>
    <row r="71" spans="2:4" ht="21" customHeight="1" x14ac:dyDescent="0.35">
      <c r="D71" s="5"/>
    </row>
    <row r="72" spans="2:4" ht="21" customHeight="1" x14ac:dyDescent="0.35">
      <c r="B72" s="214" t="s">
        <v>227</v>
      </c>
      <c r="C72" s="215"/>
      <c r="D72" s="5"/>
    </row>
    <row r="73" spans="2:4" ht="21" customHeight="1" x14ac:dyDescent="0.35">
      <c r="B73" s="216"/>
      <c r="C73" s="217"/>
      <c r="D73" s="5"/>
    </row>
    <row r="74" spans="2:4" ht="21" customHeight="1" x14ac:dyDescent="0.35">
      <c r="C74" s="5"/>
      <c r="D74" s="5"/>
    </row>
  </sheetData>
  <sheetProtection selectLockedCells="1"/>
  <mergeCells count="8">
    <mergeCell ref="B35:F35"/>
    <mergeCell ref="B72:C73"/>
    <mergeCell ref="B51:F51"/>
    <mergeCell ref="B17:F17"/>
    <mergeCell ref="C19:E19"/>
    <mergeCell ref="F19:F20"/>
    <mergeCell ref="C37:E37"/>
    <mergeCell ref="F37:F38"/>
  </mergeCells>
  <dataValidations count="1">
    <dataValidation type="list" allowBlank="1" showInputMessage="1" showErrorMessage="1" sqref="C15" xr:uid="{00000000-0002-0000-0800-000000000000}">
      <formula1>"Yes,No"</formula1>
    </dataValidation>
  </dataValidation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F21"/>
  <sheetViews>
    <sheetView zoomScale="99" zoomScaleNormal="99" workbookViewId="0">
      <selection activeCell="B7" sqref="B7"/>
    </sheetView>
  </sheetViews>
  <sheetFormatPr defaultColWidth="9.08984375" defaultRowHeight="21" customHeight="1" x14ac:dyDescent="0.35"/>
  <cols>
    <col min="1" max="1" width="9.08984375" style="1"/>
    <col min="2" max="2" width="53.453125" style="1" bestFit="1" customWidth="1"/>
    <col min="3" max="3" width="11.08984375" style="1" customWidth="1"/>
    <col min="4" max="4" width="9.08984375" style="1"/>
    <col min="5" max="5" width="49.453125" style="1" bestFit="1" customWidth="1"/>
    <col min="6" max="6" width="15.08984375" style="1" customWidth="1"/>
    <col min="7" max="16384" width="9.08984375" style="1"/>
  </cols>
  <sheetData>
    <row r="1" spans="1:6" ht="21" customHeight="1" x14ac:dyDescent="0.35">
      <c r="B1" s="1" t="s">
        <v>330</v>
      </c>
    </row>
    <row r="2" spans="1:6" ht="21" customHeight="1" x14ac:dyDescent="0.35">
      <c r="B2" s="184" t="s">
        <v>318</v>
      </c>
      <c r="C2" s="1" t="s">
        <v>326</v>
      </c>
      <c r="D2" s="184" t="s">
        <v>300</v>
      </c>
    </row>
    <row r="3" spans="1:6" ht="21" customHeight="1" x14ac:dyDescent="0.35">
      <c r="A3" s="33"/>
    </row>
    <row r="4" spans="1:6" ht="21" customHeight="1" x14ac:dyDescent="0.35">
      <c r="B4" s="18" t="s">
        <v>34</v>
      </c>
      <c r="C4" s="117">
        <v>1</v>
      </c>
      <c r="E4" s="41" t="s">
        <v>66</v>
      </c>
    </row>
    <row r="5" spans="1:6" ht="21" customHeight="1" x14ac:dyDescent="0.35">
      <c r="B5" s="18" t="s">
        <v>35</v>
      </c>
      <c r="C5" s="64">
        <f>Annual_FTE_hours*60*'Call Management'!C4</f>
        <v>115200</v>
      </c>
      <c r="E5" s="43" t="s">
        <v>38</v>
      </c>
      <c r="F5" s="31" t="s">
        <v>39</v>
      </c>
    </row>
    <row r="6" spans="1:6" ht="21" customHeight="1" x14ac:dyDescent="0.35">
      <c r="E6" s="44" t="s">
        <v>317</v>
      </c>
      <c r="F6" s="27">
        <v>2000</v>
      </c>
    </row>
    <row r="7" spans="1:6" ht="21" customHeight="1" x14ac:dyDescent="0.35">
      <c r="B7" s="18" t="s">
        <v>243</v>
      </c>
      <c r="C7" s="46">
        <v>43678</v>
      </c>
      <c r="E7" s="44"/>
      <c r="F7" s="27"/>
    </row>
    <row r="8" spans="1:6" ht="21" customHeight="1" x14ac:dyDescent="0.35">
      <c r="B8" s="18" t="s">
        <v>269</v>
      </c>
      <c r="C8" s="23">
        <v>1</v>
      </c>
      <c r="E8" s="44"/>
      <c r="F8" s="27"/>
    </row>
    <row r="9" spans="1:6" ht="21" customHeight="1" x14ac:dyDescent="0.35">
      <c r="D9" s="3"/>
      <c r="E9" s="45"/>
    </row>
    <row r="10" spans="1:6" ht="21" customHeight="1" x14ac:dyDescent="0.35">
      <c r="D10" s="3"/>
      <c r="E10" s="38" t="s">
        <v>207</v>
      </c>
      <c r="F10" s="19">
        <f>SUM(F6:F9)</f>
        <v>2000</v>
      </c>
    </row>
    <row r="11" spans="1:6" ht="21" customHeight="1" x14ac:dyDescent="0.35">
      <c r="B11" s="184"/>
      <c r="D11" s="3"/>
    </row>
    <row r="12" spans="1:6" ht="21" customHeight="1" x14ac:dyDescent="0.35">
      <c r="B12" s="184"/>
      <c r="D12" s="3"/>
      <c r="E12" s="41" t="s">
        <v>67</v>
      </c>
      <c r="F12" s="5"/>
    </row>
    <row r="13" spans="1:6" ht="21" customHeight="1" x14ac:dyDescent="0.35">
      <c r="D13" s="3"/>
      <c r="E13" s="43" t="s">
        <v>38</v>
      </c>
      <c r="F13" s="31" t="s">
        <v>39</v>
      </c>
    </row>
    <row r="14" spans="1:6" ht="21" customHeight="1" x14ac:dyDescent="0.35">
      <c r="D14" s="3"/>
      <c r="E14" s="44"/>
      <c r="F14" s="27"/>
    </row>
    <row r="15" spans="1:6" ht="21" customHeight="1" x14ac:dyDescent="0.35">
      <c r="D15" s="3"/>
      <c r="E15" s="44"/>
      <c r="F15" s="27"/>
    </row>
    <row r="16" spans="1:6" ht="21" customHeight="1" x14ac:dyDescent="0.35">
      <c r="E16" s="44"/>
      <c r="F16" s="27"/>
    </row>
    <row r="17" spans="5:6" ht="21" customHeight="1" x14ac:dyDescent="0.35">
      <c r="E17" s="45"/>
    </row>
    <row r="18" spans="5:6" ht="21" customHeight="1" x14ac:dyDescent="0.35">
      <c r="E18" s="38" t="s">
        <v>36</v>
      </c>
      <c r="F18" s="19">
        <f>SUM(F14:F17)</f>
        <v>0</v>
      </c>
    </row>
    <row r="20" spans="5:6" ht="21" customHeight="1" x14ac:dyDescent="0.35">
      <c r="E20" s="214" t="s">
        <v>227</v>
      </c>
      <c r="F20" s="215"/>
    </row>
    <row r="21" spans="5:6" ht="21" customHeight="1" x14ac:dyDescent="0.35">
      <c r="E21" s="216"/>
      <c r="F21" s="217"/>
    </row>
  </sheetData>
  <sheetProtection selectLockedCells="1"/>
  <mergeCells count="1">
    <mergeCell ref="E20:F21"/>
  </mergeCells>
  <hyperlinks>
    <hyperlink ref="D2" r:id="rId1" xr:uid="{FE9E7AA6-4C79-499B-8D27-DF0DD3838892}"/>
    <hyperlink ref="B2" r:id="rId2" xr:uid="{DCC07A34-1862-4378-9519-C145B1DF9500}"/>
  </hyperlinks>
  <pageMargins left="0.7" right="0.7" top="0.75" bottom="0.75" header="0.3" footer="0.3"/>
  <pageSetup paperSize="9" orientation="portrait"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2"/>
  <dimension ref="A2:O31"/>
  <sheetViews>
    <sheetView workbookViewId="0">
      <selection activeCell="C1" sqref="C1"/>
    </sheetView>
  </sheetViews>
  <sheetFormatPr defaultColWidth="9.08984375" defaultRowHeight="21" customHeight="1" x14ac:dyDescent="0.35"/>
  <cols>
    <col min="1" max="1" width="9.08984375" style="1"/>
    <col min="2" max="2" width="52.08984375" style="1" bestFit="1" customWidth="1"/>
    <col min="3" max="6" width="12.54296875" style="1" customWidth="1"/>
    <col min="7" max="7" width="5.6328125" style="1" customWidth="1"/>
    <col min="8" max="8" width="29.453125" style="1" customWidth="1"/>
    <col min="9" max="9" width="9.08984375" style="1"/>
    <col min="10" max="10" width="5.6328125" style="1" customWidth="1"/>
    <col min="11" max="11" width="29.453125" style="1" bestFit="1" customWidth="1"/>
    <col min="12" max="16384" width="9.08984375" style="1"/>
  </cols>
  <sheetData>
    <row r="2" spans="1:15" ht="21" customHeight="1" x14ac:dyDescent="0.35">
      <c r="A2" s="33"/>
      <c r="B2" s="33"/>
      <c r="C2" s="100" t="s">
        <v>12</v>
      </c>
      <c r="D2" s="100" t="s">
        <v>13</v>
      </c>
      <c r="E2" s="100" t="s">
        <v>14</v>
      </c>
      <c r="F2" s="100" t="s">
        <v>25</v>
      </c>
      <c r="I2" s="33"/>
      <c r="J2" s="33"/>
      <c r="K2" s="33"/>
      <c r="L2" s="33"/>
      <c r="M2" s="33"/>
      <c r="N2" s="33"/>
      <c r="O2" s="33"/>
    </row>
    <row r="3" spans="1:15" ht="21" customHeight="1" x14ac:dyDescent="0.35">
      <c r="B3" s="18" t="s">
        <v>211</v>
      </c>
      <c r="C3" s="23">
        <v>5</v>
      </c>
      <c r="D3" s="23">
        <v>5</v>
      </c>
      <c r="E3" s="23">
        <v>5</v>
      </c>
      <c r="F3" s="23">
        <v>5</v>
      </c>
      <c r="H3" s="229" t="s">
        <v>214</v>
      </c>
      <c r="I3" s="229"/>
      <c r="J3" s="229"/>
      <c r="K3" s="229"/>
      <c r="L3" s="229"/>
      <c r="M3" s="229"/>
      <c r="N3" s="229"/>
      <c r="O3" s="229"/>
    </row>
    <row r="4" spans="1:15" ht="21" customHeight="1" x14ac:dyDescent="0.35">
      <c r="B4" s="18" t="s">
        <v>272</v>
      </c>
      <c r="C4" s="24">
        <v>0.5</v>
      </c>
      <c r="D4" s="24">
        <v>0.5</v>
      </c>
      <c r="E4" s="24">
        <v>0.5</v>
      </c>
      <c r="F4" s="24">
        <v>0.5</v>
      </c>
    </row>
    <row r="5" spans="1:15" ht="21" customHeight="1" x14ac:dyDescent="0.35">
      <c r="B5" s="18" t="s">
        <v>271</v>
      </c>
      <c r="C5" s="106">
        <f>IFERROR(Summary!J43*C4,0)</f>
        <v>0.78125</v>
      </c>
      <c r="D5" s="106">
        <f>IFERROR(Summary!K43*D4,0)</f>
        <v>0.26041666666666669</v>
      </c>
      <c r="E5" s="106">
        <f>IFERROR(Summary!L43*E4,0)</f>
        <v>0.18333333333333332</v>
      </c>
      <c r="F5" s="106">
        <f>IFERROR(Summary!M43*F4,0)</f>
        <v>0.1953125</v>
      </c>
    </row>
    <row r="6" spans="1:15" ht="21" customHeight="1" x14ac:dyDescent="0.35">
      <c r="B6" s="18" t="s">
        <v>270</v>
      </c>
      <c r="C6" s="107">
        <f>C3*C5*60</f>
        <v>234.375</v>
      </c>
      <c r="D6" s="107">
        <f>D3*D5*60</f>
        <v>78.125000000000014</v>
      </c>
      <c r="E6" s="107">
        <f>E3*E5*60</f>
        <v>55</v>
      </c>
      <c r="F6" s="107">
        <f>F3*F5*60</f>
        <v>58.59375</v>
      </c>
    </row>
    <row r="8" spans="1:15" ht="21" customHeight="1" x14ac:dyDescent="0.35">
      <c r="B8" s="18" t="s">
        <v>213</v>
      </c>
      <c r="C8" s="127">
        <f>IFERROR(('Master Data'!O22/(GP_FTE*40*52))*C3*C10,0)</f>
        <v>1201.9230769230769</v>
      </c>
    </row>
    <row r="10" spans="1:15" ht="21" customHeight="1" x14ac:dyDescent="0.35">
      <c r="B10" s="18" t="s">
        <v>212</v>
      </c>
      <c r="C10" s="23">
        <v>50</v>
      </c>
    </row>
    <row r="11" spans="1:15" ht="21" customHeight="1" x14ac:dyDescent="0.35">
      <c r="B11" s="18" t="s">
        <v>243</v>
      </c>
      <c r="C11" s="46">
        <v>44013</v>
      </c>
    </row>
    <row r="12" spans="1:15" ht="21" customHeight="1" x14ac:dyDescent="0.35">
      <c r="B12" s="18" t="s">
        <v>269</v>
      </c>
      <c r="C12" s="23">
        <v>1</v>
      </c>
    </row>
    <row r="14" spans="1:15" ht="21" customHeight="1" x14ac:dyDescent="0.35">
      <c r="B14" s="115" t="s">
        <v>66</v>
      </c>
    </row>
    <row r="15" spans="1:15" ht="21" customHeight="1" x14ac:dyDescent="0.35">
      <c r="B15" s="30" t="s">
        <v>38</v>
      </c>
      <c r="C15" s="31" t="s">
        <v>39</v>
      </c>
    </row>
    <row r="16" spans="1:15" ht="21" customHeight="1" x14ac:dyDescent="0.35">
      <c r="B16" s="44"/>
      <c r="C16" s="27"/>
    </row>
    <row r="17" spans="2:11" ht="21" customHeight="1" x14ac:dyDescent="0.35">
      <c r="B17" s="44"/>
      <c r="C17" s="27"/>
    </row>
    <row r="18" spans="2:11" ht="21" customHeight="1" x14ac:dyDescent="0.35">
      <c r="B18" s="44"/>
      <c r="C18" s="27"/>
    </row>
    <row r="19" spans="2:11" ht="21" customHeight="1" x14ac:dyDescent="0.35">
      <c r="B19" s="45"/>
    </row>
    <row r="20" spans="2:11" ht="21" customHeight="1" x14ac:dyDescent="0.35">
      <c r="B20" s="18" t="s">
        <v>207</v>
      </c>
      <c r="C20" s="19">
        <f>SUM(C16:C19)</f>
        <v>0</v>
      </c>
    </row>
    <row r="22" spans="2:11" ht="21" customHeight="1" x14ac:dyDescent="0.35">
      <c r="B22" s="115" t="s">
        <v>67</v>
      </c>
      <c r="C22" s="5"/>
      <c r="E22" s="229" t="s">
        <v>215</v>
      </c>
      <c r="F22" s="229"/>
      <c r="G22" s="229"/>
      <c r="H22" s="229"/>
      <c r="I22" s="229"/>
      <c r="J22" s="229"/>
      <c r="K22" s="229"/>
    </row>
    <row r="23" spans="2:11" ht="21" customHeight="1" x14ac:dyDescent="0.35">
      <c r="B23" s="30" t="s">
        <v>38</v>
      </c>
      <c r="C23" s="31" t="s">
        <v>39</v>
      </c>
    </row>
    <row r="24" spans="2:11" ht="21" customHeight="1" x14ac:dyDescent="0.35">
      <c r="B24" s="44"/>
      <c r="C24" s="27"/>
    </row>
    <row r="25" spans="2:11" ht="21" customHeight="1" x14ac:dyDescent="0.35">
      <c r="B25" s="44"/>
      <c r="C25" s="27"/>
    </row>
    <row r="26" spans="2:11" ht="21" customHeight="1" x14ac:dyDescent="0.35">
      <c r="B26" s="44"/>
      <c r="C26" s="27"/>
    </row>
    <row r="27" spans="2:11" ht="21" customHeight="1" x14ac:dyDescent="0.35">
      <c r="B27" s="45"/>
    </row>
    <row r="28" spans="2:11" ht="21" customHeight="1" x14ac:dyDescent="0.35">
      <c r="B28" s="38" t="s">
        <v>36</v>
      </c>
      <c r="C28" s="19">
        <f>SUM(C24:C27)</f>
        <v>0</v>
      </c>
    </row>
    <row r="30" spans="2:11" ht="21" customHeight="1" x14ac:dyDescent="0.35">
      <c r="B30" s="214" t="s">
        <v>227</v>
      </c>
      <c r="C30" s="215"/>
    </row>
    <row r="31" spans="2:11" ht="21" customHeight="1" x14ac:dyDescent="0.35">
      <c r="B31" s="216"/>
      <c r="C31" s="217"/>
    </row>
  </sheetData>
  <sheetProtection selectLockedCells="1"/>
  <mergeCells count="3">
    <mergeCell ref="H3:O3"/>
    <mergeCell ref="E22:K22"/>
    <mergeCell ref="B30:C31"/>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3:X24"/>
  <sheetViews>
    <sheetView topLeftCell="F1" workbookViewId="0">
      <selection activeCell="J10" sqref="J10"/>
    </sheetView>
  </sheetViews>
  <sheetFormatPr defaultColWidth="9.08984375" defaultRowHeight="21" customHeight="1" x14ac:dyDescent="0.35"/>
  <cols>
    <col min="1" max="1" width="9.08984375" style="1"/>
    <col min="2" max="2" width="52.54296875" style="1" bestFit="1" customWidth="1"/>
    <col min="3" max="3" width="12.54296875" style="1" customWidth="1"/>
    <col min="4" max="4" width="11.6328125" style="1" customWidth="1"/>
    <col min="5" max="5" width="18.08984375" style="1" customWidth="1"/>
    <col min="6" max="6" width="5.6328125" style="1" customWidth="1"/>
    <col min="7" max="7" width="48" style="1" customWidth="1"/>
    <col min="8" max="8" width="18.54296875" style="1" customWidth="1"/>
    <col min="9" max="9" width="5.6328125" style="1" customWidth="1"/>
    <col min="10" max="16384" width="9.08984375" style="1"/>
  </cols>
  <sheetData>
    <row r="3" spans="1:24" ht="21" customHeight="1" x14ac:dyDescent="0.35">
      <c r="B3" s="198" t="s">
        <v>218</v>
      </c>
      <c r="C3" s="198"/>
      <c r="D3" s="198"/>
      <c r="E3" s="198"/>
      <c r="G3" s="198" t="s">
        <v>276</v>
      </c>
      <c r="H3" s="198"/>
      <c r="I3" s="198"/>
    </row>
    <row r="5" spans="1:24" ht="21" customHeight="1" x14ac:dyDescent="0.35">
      <c r="B5" s="177" t="s">
        <v>303</v>
      </c>
      <c r="G5" s="128" t="s">
        <v>66</v>
      </c>
    </row>
    <row r="6" spans="1:24" ht="21" customHeight="1" x14ac:dyDescent="0.35">
      <c r="A6" s="33"/>
      <c r="B6" s="136" t="s">
        <v>277</v>
      </c>
      <c r="C6" s="185" t="s">
        <v>12</v>
      </c>
      <c r="D6" s="185" t="s">
        <v>13</v>
      </c>
      <c r="G6" s="30" t="s">
        <v>38</v>
      </c>
      <c r="H6" s="31" t="s">
        <v>39</v>
      </c>
      <c r="I6" s="33"/>
      <c r="J6" s="33"/>
      <c r="K6" s="33"/>
      <c r="L6" s="33"/>
      <c r="M6" s="33"/>
      <c r="N6" s="33"/>
      <c r="O6" s="33"/>
      <c r="P6" s="33"/>
      <c r="Q6" s="33"/>
      <c r="R6" s="33"/>
      <c r="S6" s="33"/>
      <c r="T6" s="33"/>
      <c r="U6" s="33"/>
      <c r="V6" s="33"/>
      <c r="W6" s="33"/>
      <c r="X6" s="33"/>
    </row>
    <row r="7" spans="1:24" ht="21" customHeight="1" x14ac:dyDescent="0.35">
      <c r="B7" s="44"/>
      <c r="C7" s="27"/>
      <c r="D7" s="27"/>
      <c r="F7" s="33"/>
      <c r="G7" s="44"/>
      <c r="H7" s="27"/>
    </row>
    <row r="8" spans="1:24" ht="21" customHeight="1" x14ac:dyDescent="0.35">
      <c r="B8" s="44"/>
      <c r="C8" s="27"/>
      <c r="D8" s="27"/>
      <c r="G8" s="44"/>
      <c r="H8" s="27"/>
    </row>
    <row r="9" spans="1:24" ht="21" customHeight="1" x14ac:dyDescent="0.35">
      <c r="B9" s="44"/>
      <c r="C9" s="27"/>
      <c r="D9" s="27"/>
      <c r="G9" s="44"/>
      <c r="H9" s="27"/>
    </row>
    <row r="10" spans="1:24" ht="21" customHeight="1" x14ac:dyDescent="0.35">
      <c r="B10" s="44"/>
      <c r="C10" s="27"/>
      <c r="D10" s="27"/>
      <c r="G10" s="45"/>
    </row>
    <row r="11" spans="1:24" ht="21" customHeight="1" x14ac:dyDescent="0.35">
      <c r="B11" s="108" t="s">
        <v>301</v>
      </c>
      <c r="C11" s="187">
        <f>SUM(C7:C10)</f>
        <v>0</v>
      </c>
      <c r="D11" s="187">
        <f>SUM(D7:D10)</f>
        <v>0</v>
      </c>
      <c r="G11" s="18" t="s">
        <v>207</v>
      </c>
      <c r="H11" s="19">
        <f>SUM(H7:H10)</f>
        <v>0</v>
      </c>
    </row>
    <row r="12" spans="1:24" ht="21" customHeight="1" x14ac:dyDescent="0.35">
      <c r="B12" s="100" t="s">
        <v>216</v>
      </c>
      <c r="C12" s="186">
        <f>C11*60/GP_Consult_Length</f>
        <v>0</v>
      </c>
      <c r="D12" s="186">
        <f>D11*60/Nurse_Consult_Length</f>
        <v>0</v>
      </c>
    </row>
    <row r="13" spans="1:24" ht="21" customHeight="1" x14ac:dyDescent="0.35">
      <c r="B13" s="100" t="s">
        <v>217</v>
      </c>
      <c r="C13" s="19">
        <f>-C12*Average_GP_Revenue</f>
        <v>0</v>
      </c>
      <c r="D13" s="19">
        <f>-D12*Average_Nurse_Revenue</f>
        <v>0</v>
      </c>
      <c r="G13" s="128" t="s">
        <v>67</v>
      </c>
      <c r="H13" s="5"/>
    </row>
    <row r="14" spans="1:24" ht="21" customHeight="1" x14ac:dyDescent="0.35">
      <c r="G14" s="30" t="s">
        <v>38</v>
      </c>
      <c r="H14" s="31" t="s">
        <v>39</v>
      </c>
    </row>
    <row r="15" spans="1:24" ht="21" customHeight="1" x14ac:dyDescent="0.35">
      <c r="G15" s="44"/>
      <c r="H15" s="27"/>
    </row>
    <row r="16" spans="1:24" ht="21" customHeight="1" x14ac:dyDescent="0.35">
      <c r="B16" s="177" t="s">
        <v>302</v>
      </c>
      <c r="G16" s="44"/>
      <c r="H16" s="27"/>
    </row>
    <row r="17" spans="2:8" ht="21" customHeight="1" x14ac:dyDescent="0.35">
      <c r="B17" s="136" t="s">
        <v>277</v>
      </c>
      <c r="C17" s="185" t="s">
        <v>12</v>
      </c>
      <c r="D17" s="185" t="s">
        <v>13</v>
      </c>
      <c r="G17" s="44"/>
      <c r="H17" s="27"/>
    </row>
    <row r="18" spans="2:8" ht="21" customHeight="1" x14ac:dyDescent="0.35">
      <c r="B18" s="44" t="s">
        <v>304</v>
      </c>
      <c r="C18" s="27">
        <f>GP_FTE*2</f>
        <v>14.2</v>
      </c>
      <c r="D18" s="27">
        <f>Nurse_FTE*2</f>
        <v>12.4</v>
      </c>
    </row>
    <row r="19" spans="2:8" ht="21" customHeight="1" x14ac:dyDescent="0.35">
      <c r="B19" s="44"/>
      <c r="C19" s="27"/>
      <c r="D19" s="27"/>
      <c r="G19" s="18" t="s">
        <v>278</v>
      </c>
      <c r="H19" s="19">
        <f>SUM(H15:H18)</f>
        <v>0</v>
      </c>
    </row>
    <row r="20" spans="2:8" ht="21" customHeight="1" x14ac:dyDescent="0.35">
      <c r="B20" s="44"/>
      <c r="C20" s="27"/>
      <c r="D20" s="27"/>
    </row>
    <row r="21" spans="2:8" ht="21" customHeight="1" x14ac:dyDescent="0.35">
      <c r="B21" s="44"/>
      <c r="C21" s="27"/>
      <c r="D21" s="27"/>
    </row>
    <row r="22" spans="2:8" ht="21" customHeight="1" x14ac:dyDescent="0.35">
      <c r="B22" s="176" t="s">
        <v>301</v>
      </c>
      <c r="C22" s="187">
        <f>SUM(C18:C21)</f>
        <v>14.2</v>
      </c>
      <c r="D22" s="187">
        <f>SUM(D18:D21)</f>
        <v>12.4</v>
      </c>
    </row>
    <row r="23" spans="2:8" ht="21" customHeight="1" x14ac:dyDescent="0.35">
      <c r="B23" s="176" t="s">
        <v>216</v>
      </c>
      <c r="C23" s="186">
        <f>C22*60/GP_Consult_Length</f>
        <v>56.8</v>
      </c>
      <c r="D23" s="186">
        <f>D22*60/Nurse_Consult_Length</f>
        <v>49.6</v>
      </c>
    </row>
    <row r="24" spans="2:8" ht="21" customHeight="1" x14ac:dyDescent="0.35">
      <c r="B24" s="176" t="s">
        <v>217</v>
      </c>
      <c r="C24" s="19">
        <f>-C23*Average_GP_Revenue</f>
        <v>-681.59999999999991</v>
      </c>
      <c r="D24" s="19">
        <f>-D23*Average_Nurse_Revenue</f>
        <v>-49.6</v>
      </c>
    </row>
  </sheetData>
  <sheetProtection selectLockedCells="1"/>
  <mergeCells count="2">
    <mergeCell ref="B3:E3"/>
    <mergeCell ref="G3:I3"/>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E26657-2911-4B12-951D-DC6C4735FAE6}">
  <dimension ref="A1"/>
  <sheetViews>
    <sheetView workbookViewId="0"/>
  </sheetViews>
  <sheetFormatPr defaultRowHeight="14.5" x14ac:dyDescent="0.3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Y46"/>
  <sheetViews>
    <sheetView topLeftCell="A22" zoomScale="90" zoomScaleNormal="90" workbookViewId="0">
      <selection activeCell="D36" sqref="D36"/>
    </sheetView>
  </sheetViews>
  <sheetFormatPr defaultColWidth="9.08984375" defaultRowHeight="21" customHeight="1" x14ac:dyDescent="0.35"/>
  <cols>
    <col min="1" max="1" width="9.08984375" style="1"/>
    <col min="2" max="2" width="33.54296875" style="1" customWidth="1"/>
    <col min="3" max="3" width="13.08984375" style="1" customWidth="1"/>
    <col min="4" max="4" width="14.36328125" style="1" customWidth="1"/>
    <col min="5" max="5" width="13.90625" style="34" bestFit="1" customWidth="1"/>
    <col min="6" max="7" width="13.90625" style="1" bestFit="1" customWidth="1"/>
    <col min="8" max="8" width="9.08984375" style="1"/>
    <col min="9" max="9" width="55.08984375" style="1" bestFit="1" customWidth="1"/>
    <col min="10" max="25" width="12.54296875" style="1" customWidth="1"/>
    <col min="26" max="16384" width="9.08984375" style="1"/>
  </cols>
  <sheetData>
    <row r="1" spans="1:13" ht="21" customHeight="1" x14ac:dyDescent="0.35">
      <c r="A1" s="33"/>
    </row>
    <row r="2" spans="1:13" ht="21" customHeight="1" x14ac:dyDescent="0.35">
      <c r="D2" s="198" t="s">
        <v>155</v>
      </c>
      <c r="E2" s="198"/>
      <c r="F2" s="198"/>
      <c r="G2" s="198"/>
      <c r="J2" s="198" t="s">
        <v>155</v>
      </c>
      <c r="K2" s="198"/>
      <c r="L2" s="198"/>
      <c r="M2" s="198"/>
    </row>
    <row r="3" spans="1:13" ht="21" customHeight="1" x14ac:dyDescent="0.35">
      <c r="B3" s="28" t="s">
        <v>40</v>
      </c>
      <c r="C3" s="69" t="s">
        <v>159</v>
      </c>
      <c r="D3" s="92">
        <v>1</v>
      </c>
      <c r="E3" s="22">
        <v>2</v>
      </c>
      <c r="F3" s="92">
        <v>3</v>
      </c>
      <c r="G3" s="92">
        <v>4</v>
      </c>
      <c r="I3" s="29" t="s">
        <v>183</v>
      </c>
      <c r="J3" s="92">
        <v>1</v>
      </c>
      <c r="K3" s="22">
        <v>2</v>
      </c>
      <c r="L3" s="92">
        <v>3</v>
      </c>
      <c r="M3" s="92">
        <v>4</v>
      </c>
    </row>
    <row r="4" spans="1:13" ht="21" customHeight="1" x14ac:dyDescent="0.35">
      <c r="B4" s="84" t="s">
        <v>30</v>
      </c>
      <c r="C4" s="19">
        <f>'Master Data'!O3</f>
        <v>380000</v>
      </c>
      <c r="D4" s="29">
        <f>$C4+INDEX(Projection!$BE$25:$BH$27,MATCH(Summary!$B4,Projection!$B$25:$B$27,0),MATCH(Summary!D$3,Projection!$BE$3:$BH$3,0))</f>
        <v>338869.63537974656</v>
      </c>
      <c r="E4" s="29">
        <f>$C4+INDEX(Projection!$BE$25:$BH$27,MATCH(Summary!$B4,Projection!$B$25:$B$27,0),MATCH(Summary!E$3,Projection!$BE$3:$BH$3,0))</f>
        <v>330034.71054621111</v>
      </c>
      <c r="F4" s="29">
        <f>$C4+INDEX(Projection!$BE$25:$BH$27,MATCH(Summary!$B4,Projection!$B$25:$B$27,0),MATCH(Summary!F$3,Projection!$BE$3:$BH$3,0))</f>
        <v>329783.59765083395</v>
      </c>
      <c r="G4" s="29">
        <f>$C4+INDEX(Projection!$BE$25:$BH$27,MATCH(Summary!$B4,Projection!$B$25:$B$27,0),MATCH(Summary!G$3,Projection!$BE$3:$BH$3,0))</f>
        <v>332901.45031506754</v>
      </c>
      <c r="I4" s="29" t="str">
        <f>Projection!B7</f>
        <v>HCH Capitation Funding - Implementation</v>
      </c>
      <c r="J4" s="76">
        <f>INDEX(Projection!$BE$7:$BH$23,MATCH($I4,Projection!$B$7:$B$23,0),MATCH(Summary!J$3,Projection!$BE$3:$BH$3,0))-INDEX(Projection!$BE$30:$BH$46,MATCH(Summary!$I4,Projection!$B$30:$B$46,0),MATCH(Summary!J$3,Projection!$BE$3:$BH$3,0))</f>
        <v>60000</v>
      </c>
      <c r="K4" s="76">
        <f>INDEX(Projection!$BE$7:$BH$23,MATCH($I4,Projection!$B$7:$B$23,0),MATCH(Summary!K$3,Projection!$BE$3:$BH$3,0))-INDEX(Projection!$BE$30:$BH$46,MATCH(Summary!$I4,Projection!$B$30:$B$46,0),MATCH(Summary!K$3,Projection!$BE$3:$BH$3,0))</f>
        <v>60000</v>
      </c>
      <c r="L4" s="76">
        <f>INDEX(Projection!$BE$7:$BH$23,MATCH($I4,Projection!$B$7:$B$23,0),MATCH(Summary!L$3,Projection!$BE$3:$BH$3,0))-INDEX(Projection!$BE$30:$BH$46,MATCH(Summary!$I4,Projection!$B$30:$B$46,0),MATCH(Summary!L$3,Projection!$BE$3:$BH$3,0))</f>
        <v>60000</v>
      </c>
      <c r="M4" s="76">
        <f>INDEX(Projection!$BE$7:$BH$23,MATCH($I4,Projection!$B$7:$B$23,0),MATCH(Summary!M$3,Projection!$BE$3:$BH$3,0))-INDEX(Projection!$BE$30:$BH$46,MATCH(Summary!$I4,Projection!$B$30:$B$46,0),MATCH(Summary!M$3,Projection!$BE$3:$BH$3,0))</f>
        <v>60000</v>
      </c>
    </row>
    <row r="5" spans="1:13" ht="21" customHeight="1" x14ac:dyDescent="0.35">
      <c r="B5" s="84" t="s">
        <v>140</v>
      </c>
      <c r="C5" s="19">
        <f>'Master Data'!O4</f>
        <v>2000000</v>
      </c>
      <c r="D5" s="29">
        <f>$C5+INDEX(Projection!$BE$25:$BH$27,MATCH(Summary!$B5,Projection!$B$25:$B$27,0),MATCH(Summary!D$3,Projection!$BE$3:$BH$3,0))</f>
        <v>2060000</v>
      </c>
      <c r="E5" s="29">
        <f>$C5+INDEX(Projection!$BE$25:$BH$27,MATCH(Summary!$B5,Projection!$B$25:$B$27,0),MATCH(Summary!E$3,Projection!$BE$3:$BH$3,0))</f>
        <v>2060000</v>
      </c>
      <c r="F5" s="29">
        <f>$C5+INDEX(Projection!$BE$25:$BH$27,MATCH(Summary!$B5,Projection!$B$25:$B$27,0),MATCH(Summary!F$3,Projection!$BE$3:$BH$3,0))</f>
        <v>2060000</v>
      </c>
      <c r="G5" s="29">
        <f>$C5+INDEX(Projection!$BE$25:$BH$27,MATCH(Summary!$B5,Projection!$B$25:$B$27,0),MATCH(Summary!G$3,Projection!$BE$3:$BH$3,0))</f>
        <v>2060000</v>
      </c>
      <c r="I5" s="29" t="str">
        <f>Projection!B8</f>
        <v>HCH Capitation Funding - At Risk</v>
      </c>
      <c r="J5" s="76">
        <f>INDEX(Projection!$BE$7:$BH$23,MATCH($I5,Projection!$B$7:$B$23,0),MATCH(Summary!J$3,Projection!$BE$3:$BH$3,0))-INDEX(Projection!$BE$30:$BH$46,MATCH(Summary!$I5,Projection!$B$30:$B$46,0),MATCH(Summary!J$3,Projection!$BE$3:$BH$3,0))</f>
        <v>0</v>
      </c>
      <c r="K5" s="76">
        <f>INDEX(Projection!$BE$7:$BH$23,MATCH($I5,Projection!$B$7:$B$23,0),MATCH(Summary!K$3,Projection!$BE$3:$BH$3,0))-INDEX(Projection!$BE$30:$BH$46,MATCH(Summary!$I5,Projection!$B$30:$B$46,0),MATCH(Summary!K$3,Projection!$BE$3:$BH$3,0))</f>
        <v>0</v>
      </c>
      <c r="L5" s="76">
        <f>INDEX(Projection!$BE$7:$BH$23,MATCH($I5,Projection!$B$7:$B$23,0),MATCH(Summary!L$3,Projection!$BE$3:$BH$3,0))-INDEX(Projection!$BE$30:$BH$46,MATCH(Summary!$I5,Projection!$B$30:$B$46,0),MATCH(Summary!L$3,Projection!$BE$3:$BH$3,0))</f>
        <v>0</v>
      </c>
      <c r="M5" s="76">
        <f>INDEX(Projection!$BE$7:$BH$23,MATCH($I5,Projection!$B$7:$B$23,0),MATCH(Summary!M$3,Projection!$BE$3:$BH$3,0))-INDEX(Projection!$BE$30:$BH$46,MATCH(Summary!$I5,Projection!$B$30:$B$46,0),MATCH(Summary!M$3,Projection!$BE$3:$BH$3,0))</f>
        <v>0</v>
      </c>
    </row>
    <row r="6" spans="1:13" ht="21" customHeight="1" x14ac:dyDescent="0.35">
      <c r="B6" s="29" t="s">
        <v>141</v>
      </c>
      <c r="C6" s="29">
        <f>SUM(C4:C5)</f>
        <v>2380000</v>
      </c>
      <c r="D6" s="29">
        <f>SUM(D4:D5)</f>
        <v>2398869.6353797466</v>
      </c>
      <c r="E6" s="29">
        <f>SUM(E4:E5)</f>
        <v>2390034.7105462113</v>
      </c>
      <c r="F6" s="29">
        <f>SUM(F4:F5)</f>
        <v>2389783.5976508339</v>
      </c>
      <c r="G6" s="29">
        <f>SUM(G4:G5)</f>
        <v>2392901.4503150675</v>
      </c>
      <c r="I6" s="29" t="str">
        <f>Projection!B9</f>
        <v>Equity</v>
      </c>
      <c r="J6" s="76">
        <f>INDEX(Projection!$BE$7:$BH$23,MATCH($I6,Projection!$B$7:$B$23,0),MATCH(Summary!J$3,Projection!$BE$3:$BH$3,0))-INDEX(Projection!$BE$30:$BH$46,MATCH(Summary!$I6,Projection!$B$30:$B$46,0),MATCH(Summary!J$3,Projection!$BE$3:$BH$3,0))</f>
        <v>0</v>
      </c>
      <c r="K6" s="76">
        <f>INDEX(Projection!$BE$7:$BH$23,MATCH($I6,Projection!$B$7:$B$23,0),MATCH(Summary!K$3,Projection!$BE$3:$BH$3,0))-INDEX(Projection!$BE$30:$BH$46,MATCH(Summary!$I6,Projection!$B$30:$B$46,0),MATCH(Summary!K$3,Projection!$BE$3:$BH$3,0))</f>
        <v>0</v>
      </c>
      <c r="L6" s="76">
        <f>INDEX(Projection!$BE$7:$BH$23,MATCH($I6,Projection!$B$7:$B$23,0),MATCH(Summary!L$3,Projection!$BE$3:$BH$3,0))-INDEX(Projection!$BE$30:$BH$46,MATCH(Summary!$I6,Projection!$B$30:$B$46,0),MATCH(Summary!L$3,Projection!$BE$3:$BH$3,0))</f>
        <v>0</v>
      </c>
      <c r="M6" s="76">
        <f>INDEX(Projection!$BE$7:$BH$23,MATCH($I6,Projection!$B$7:$B$23,0),MATCH(Summary!M$3,Projection!$BE$3:$BH$3,0))-INDEX(Projection!$BE$30:$BH$46,MATCH(Summary!$I6,Projection!$B$30:$B$46,0),MATCH(Summary!M$3,Projection!$BE$3:$BH$3,0))</f>
        <v>0</v>
      </c>
    </row>
    <row r="7" spans="1:13" ht="21" customHeight="1" x14ac:dyDescent="0.35">
      <c r="I7" s="29" t="str">
        <f>Projection!B10</f>
        <v>Call Management</v>
      </c>
      <c r="J7" s="76">
        <f>INDEX(Projection!$BE$7:$BH$23,MATCH($I7,Projection!$B$7:$B$23,0),MATCH(Summary!J$3,Projection!$BE$3:$BH$3,0))-INDEX(Projection!$BE$30:$BH$46,MATCH(Summary!$I7,Projection!$B$30:$B$46,0),MATCH(Summary!J$3,Projection!$BE$3:$BH$3,0))</f>
        <v>-2000.0000000000002</v>
      </c>
      <c r="K7" s="76">
        <f>INDEX(Projection!$BE$7:$BH$23,MATCH($I7,Projection!$B$7:$B$23,0),MATCH(Summary!K$3,Projection!$BE$3:$BH$3,0))-INDEX(Projection!$BE$30:$BH$46,MATCH(Summary!$I7,Projection!$B$30:$B$46,0),MATCH(Summary!K$3,Projection!$BE$3:$BH$3,0))</f>
        <v>0</v>
      </c>
      <c r="L7" s="76">
        <f>INDEX(Projection!$BE$7:$BH$23,MATCH($I7,Projection!$B$7:$B$23,0),MATCH(Summary!L$3,Projection!$BE$3:$BH$3,0))-INDEX(Projection!$BE$30:$BH$46,MATCH(Summary!$I7,Projection!$B$30:$B$46,0),MATCH(Summary!L$3,Projection!$BE$3:$BH$3,0))</f>
        <v>0</v>
      </c>
      <c r="M7" s="76">
        <f>INDEX(Projection!$BE$7:$BH$23,MATCH($I7,Projection!$B$7:$B$23,0),MATCH(Summary!M$3,Projection!$BE$3:$BH$3,0))-INDEX(Projection!$BE$30:$BH$46,MATCH(Summary!$I7,Projection!$B$30:$B$46,0),MATCH(Summary!M$3,Projection!$BE$3:$BH$3,0))</f>
        <v>0</v>
      </c>
    </row>
    <row r="8" spans="1:13" ht="21" customHeight="1" x14ac:dyDescent="0.35">
      <c r="B8" s="29" t="s">
        <v>32</v>
      </c>
      <c r="I8" s="29" t="str">
        <f>Projection!B11</f>
        <v>GP triage</v>
      </c>
      <c r="J8" s="76">
        <f>INDEX(Projection!$BE$7:$BH$23,MATCH($I8,Projection!$B$7:$B$23,0),MATCH(Summary!J$3,Projection!$BE$3:$BH$3,0))-INDEX(Projection!$BE$30:$BH$46,MATCH(Summary!$I8,Projection!$B$30:$B$46,0),MATCH(Summary!J$3,Projection!$BE$3:$BH$3,0))</f>
        <v>-21322.486956521734</v>
      </c>
      <c r="K8" s="76">
        <f>INDEX(Projection!$BE$7:$BH$23,MATCH($I8,Projection!$B$7:$B$23,0),MATCH(Summary!K$3,Projection!$BE$3:$BH$3,0))-INDEX(Projection!$BE$30:$BH$46,MATCH(Summary!$I8,Projection!$B$30:$B$46,0),MATCH(Summary!K$3,Projection!$BE$3:$BH$3,0))</f>
        <v>-28429.982608695642</v>
      </c>
      <c r="L8" s="76">
        <f>INDEX(Projection!$BE$7:$BH$23,MATCH($I8,Projection!$B$7:$B$23,0),MATCH(Summary!L$3,Projection!$BE$3:$BH$3,0))-INDEX(Projection!$BE$30:$BH$46,MATCH(Summary!$I8,Projection!$B$30:$B$46,0),MATCH(Summary!L$3,Projection!$BE$3:$BH$3,0))</f>
        <v>-28429.982608695642</v>
      </c>
      <c r="M8" s="76">
        <f>INDEX(Projection!$BE$7:$BH$23,MATCH($I8,Projection!$B$7:$B$23,0),MATCH(Summary!M$3,Projection!$BE$3:$BH$3,0))-INDEX(Projection!$BE$30:$BH$46,MATCH(Summary!$I8,Projection!$B$30:$B$46,0),MATCH(Summary!M$3,Projection!$BE$3:$BH$3,0))</f>
        <v>-28429.982608695642</v>
      </c>
    </row>
    <row r="9" spans="1:13" ht="21" customHeight="1" x14ac:dyDescent="0.35">
      <c r="B9" s="84" t="s">
        <v>145</v>
      </c>
      <c r="C9" s="19">
        <f>'Master Data'!O8</f>
        <v>100000</v>
      </c>
      <c r="D9" s="19">
        <f>C9</f>
        <v>100000</v>
      </c>
      <c r="E9" s="19">
        <f>D9</f>
        <v>100000</v>
      </c>
      <c r="F9" s="19">
        <f>E9</f>
        <v>100000</v>
      </c>
      <c r="G9" s="19">
        <f>F9</f>
        <v>100000</v>
      </c>
      <c r="I9" s="29" t="str">
        <f>Projection!B12</f>
        <v>YOC</v>
      </c>
      <c r="J9" s="76">
        <f>INDEX(Projection!$BE$7:$BH$23,MATCH($I9,Projection!$B$7:$B$23,0),MATCH(Summary!J$3,Projection!$BE$3:$BH$3,0))-INDEX(Projection!$BE$30:$BH$46,MATCH(Summary!$I9,Projection!$B$30:$B$46,0),MATCH(Summary!J$3,Projection!$BE$3:$BH$3,0))</f>
        <v>906.44008515815085</v>
      </c>
      <c r="K9" s="76">
        <f>INDEX(Projection!$BE$7:$BH$23,MATCH($I9,Projection!$B$7:$B$23,0),MATCH(Summary!K$3,Projection!$BE$3:$BH$3,0))-INDEX(Projection!$BE$30:$BH$46,MATCH(Summary!$I9,Projection!$B$30:$B$46,0),MATCH(Summary!K$3,Projection!$BE$3:$BH$3,0))</f>
        <v>6526.9414030819134</v>
      </c>
      <c r="L9" s="76">
        <f>INDEX(Projection!$BE$7:$BH$23,MATCH($I9,Projection!$B$7:$B$23,0),MATCH(Summary!L$3,Projection!$BE$3:$BH$3,0))-INDEX(Projection!$BE$30:$BH$46,MATCH(Summary!$I9,Projection!$B$30:$B$46,0),MATCH(Summary!L$3,Projection!$BE$3:$BH$3,0))</f>
        <v>12798.991281427414</v>
      </c>
      <c r="M9" s="76">
        <f>INDEX(Projection!$BE$7:$BH$23,MATCH($I9,Projection!$B$7:$B$23,0),MATCH(Summary!M$3,Projection!$BE$3:$BH$3,0))-INDEX(Projection!$BE$30:$BH$46,MATCH(Summary!$I9,Projection!$B$30:$B$46,0),MATCH(Summary!M$3,Projection!$BE$3:$BH$3,0))</f>
        <v>18173.192923763181</v>
      </c>
    </row>
    <row r="10" spans="1:13" ht="21" customHeight="1" x14ac:dyDescent="0.35">
      <c r="B10" s="87" t="s">
        <v>142</v>
      </c>
      <c r="I10" s="29" t="str">
        <f>Projection!B13</f>
        <v>Extended hours</v>
      </c>
      <c r="J10" s="76">
        <f>INDEX(Projection!$BE$7:$BH$23,MATCH($I10,Projection!$B$7:$B$23,0),MATCH(Summary!J$3,Projection!$BE$3:$BH$3,0))-INDEX(Projection!$BE$30:$BH$46,MATCH(Summary!$I10,Projection!$B$30:$B$46,0),MATCH(Summary!J$3,Projection!$BE$3:$BH$3,0))</f>
        <v>-1775.390625</v>
      </c>
      <c r="K10" s="76">
        <f>INDEX(Projection!$BE$7:$BH$23,MATCH($I10,Projection!$B$7:$B$23,0),MATCH(Summary!K$3,Projection!$BE$3:$BH$3,0))-INDEX(Projection!$BE$30:$BH$46,MATCH(Summary!$I10,Projection!$B$30:$B$46,0),MATCH(Summary!K$3,Projection!$BE$3:$BH$3,0))</f>
        <v>-21304.6875</v>
      </c>
      <c r="L10" s="76">
        <f>INDEX(Projection!$BE$7:$BH$23,MATCH($I10,Projection!$B$7:$B$23,0),MATCH(Summary!L$3,Projection!$BE$3:$BH$3,0))-INDEX(Projection!$BE$30:$BH$46,MATCH(Summary!$I10,Projection!$B$30:$B$46,0),MATCH(Summary!L$3,Projection!$BE$3:$BH$3,0))</f>
        <v>-21304.6875</v>
      </c>
      <c r="M10" s="76">
        <f>INDEX(Projection!$BE$7:$BH$23,MATCH($I10,Projection!$B$7:$B$23,0),MATCH(Summary!M$3,Projection!$BE$3:$BH$3,0))-INDEX(Projection!$BE$30:$BH$46,MATCH(Summary!$I10,Projection!$B$30:$B$46,0),MATCH(Summary!M$3,Projection!$BE$3:$BH$3,0))</f>
        <v>-21304.6875</v>
      </c>
    </row>
    <row r="11" spans="1:13" ht="21" customHeight="1" x14ac:dyDescent="0.35">
      <c r="B11" s="86" t="s">
        <v>75</v>
      </c>
      <c r="C11" s="19">
        <f>'Master Data'!O10</f>
        <v>1278000</v>
      </c>
      <c r="D11" s="29">
        <f t="shared" ref="D11:G12" si="0">C11</f>
        <v>1278000</v>
      </c>
      <c r="E11" s="29">
        <f t="shared" si="0"/>
        <v>1278000</v>
      </c>
      <c r="F11" s="29">
        <f t="shared" si="0"/>
        <v>1278000</v>
      </c>
      <c r="G11" s="29">
        <f t="shared" si="0"/>
        <v>1278000</v>
      </c>
      <c r="I11" s="29" t="str">
        <f>Projection!B14</f>
        <v>Patient Centered Appointments</v>
      </c>
      <c r="J11" s="76">
        <f>INDEX(Projection!$BE$7:$BH$23,MATCH($I11,Projection!$B$7:$B$23,0),MATCH(Summary!J$3,Projection!$BE$3:$BH$3,0))-INDEX(Projection!$BE$30:$BH$46,MATCH(Summary!$I11,Projection!$B$30:$B$46,0),MATCH(Summary!J$3,Projection!$BE$3:$BH$3,0))</f>
        <v>0</v>
      </c>
      <c r="K11" s="76">
        <f>INDEX(Projection!$BE$7:$BH$23,MATCH($I11,Projection!$B$7:$B$23,0),MATCH(Summary!K$3,Projection!$BE$3:$BH$3,0))-INDEX(Projection!$BE$30:$BH$46,MATCH(Summary!$I11,Projection!$B$30:$B$46,0),MATCH(Summary!K$3,Projection!$BE$3:$BH$3,0))</f>
        <v>0</v>
      </c>
      <c r="L11" s="76">
        <f>INDEX(Projection!$BE$7:$BH$23,MATCH($I11,Projection!$B$7:$B$23,0),MATCH(Summary!L$3,Projection!$BE$3:$BH$3,0))-INDEX(Projection!$BE$30:$BH$46,MATCH(Summary!$I11,Projection!$B$30:$B$46,0),MATCH(Summary!L$3,Projection!$BE$3:$BH$3,0))</f>
        <v>0</v>
      </c>
      <c r="M11" s="76">
        <f>INDEX(Projection!$BE$7:$BH$23,MATCH($I11,Projection!$B$7:$B$23,0),MATCH(Summary!M$3,Projection!$BE$3:$BH$3,0))-INDEX(Projection!$BE$30:$BH$46,MATCH(Summary!$I11,Projection!$B$30:$B$46,0),MATCH(Summary!M$3,Projection!$BE$3:$BH$3,0))</f>
        <v>0</v>
      </c>
    </row>
    <row r="12" spans="1:13" ht="21" customHeight="1" x14ac:dyDescent="0.35">
      <c r="B12" s="86" t="s">
        <v>143</v>
      </c>
      <c r="C12" s="19">
        <f>'Master Data'!O11</f>
        <v>372000</v>
      </c>
      <c r="D12" s="29">
        <f t="shared" si="0"/>
        <v>372000</v>
      </c>
      <c r="E12" s="29">
        <f t="shared" si="0"/>
        <v>372000</v>
      </c>
      <c r="F12" s="29">
        <f t="shared" si="0"/>
        <v>372000</v>
      </c>
      <c r="G12" s="29">
        <f t="shared" si="0"/>
        <v>372000</v>
      </c>
      <c r="I12" s="29" t="str">
        <f>Projection!B15</f>
        <v>Clinical and administrative pre work</v>
      </c>
      <c r="J12" s="76">
        <f>INDEX(Projection!$BE$7:$BH$23,MATCH($I12,Projection!$B$7:$B$23,0),MATCH(Summary!J$3,Projection!$BE$3:$BH$3,0))-INDEX(Projection!$BE$30:$BH$46,MATCH(Summary!$I12,Projection!$B$30:$B$46,0),MATCH(Summary!J$3,Projection!$BE$3:$BH$3,0))</f>
        <v>0</v>
      </c>
      <c r="K12" s="76">
        <f>INDEX(Projection!$BE$7:$BH$23,MATCH($I12,Projection!$B$7:$B$23,0),MATCH(Summary!K$3,Projection!$BE$3:$BH$3,0))-INDEX(Projection!$BE$30:$BH$46,MATCH(Summary!$I12,Projection!$B$30:$B$46,0),MATCH(Summary!K$3,Projection!$BE$3:$BH$3,0))</f>
        <v>0</v>
      </c>
      <c r="L12" s="76">
        <f>INDEX(Projection!$BE$7:$BH$23,MATCH($I12,Projection!$B$7:$B$23,0),MATCH(Summary!L$3,Projection!$BE$3:$BH$3,0))-INDEX(Projection!$BE$30:$BH$46,MATCH(Summary!$I12,Projection!$B$30:$B$46,0),MATCH(Summary!L$3,Projection!$BE$3:$BH$3,0))</f>
        <v>0</v>
      </c>
      <c r="M12" s="76">
        <f>INDEX(Projection!$BE$7:$BH$23,MATCH($I12,Projection!$B$7:$B$23,0),MATCH(Summary!M$3,Projection!$BE$3:$BH$3,0))-INDEX(Projection!$BE$30:$BH$46,MATCH(Summary!$I12,Projection!$B$30:$B$46,0),MATCH(Summary!M$3,Projection!$BE$3:$BH$3,0))</f>
        <v>0</v>
      </c>
    </row>
    <row r="13" spans="1:13" ht="21" customHeight="1" x14ac:dyDescent="0.35">
      <c r="B13" s="85" t="s">
        <v>144</v>
      </c>
      <c r="C13" s="29">
        <f>SUM(C10:C12)</f>
        <v>1650000</v>
      </c>
      <c r="D13" s="29">
        <f>SUM(D10:D12)</f>
        <v>1650000</v>
      </c>
      <c r="E13" s="29">
        <f>SUM(E10:E12)</f>
        <v>1650000</v>
      </c>
      <c r="F13" s="29">
        <f>SUM(F10:F12)</f>
        <v>1650000</v>
      </c>
      <c r="G13" s="29">
        <f>SUM(G10:G12)</f>
        <v>1650000</v>
      </c>
      <c r="I13" s="29" t="str">
        <f>Projection!B16</f>
        <v>Multi-discliplinary Team Meetings</v>
      </c>
      <c r="J13" s="76">
        <f>INDEX(Projection!$BE$7:$BH$23,MATCH($I13,Projection!$B$7:$B$23,0),MATCH(Summary!J$3,Projection!$BE$3:$BH$3,0))-INDEX(Projection!$BE$30:$BH$46,MATCH(Summary!$I13,Projection!$B$30:$B$46,0),MATCH(Summary!J$3,Projection!$BE$3:$BH$3,0))</f>
        <v>-1871.5648351648351</v>
      </c>
      <c r="K13" s="76">
        <f>INDEX(Projection!$BE$7:$BH$23,MATCH($I13,Projection!$B$7:$B$23,0),MATCH(Summary!K$3,Projection!$BE$3:$BH$3,0))-INDEX(Projection!$BE$30:$BH$46,MATCH(Summary!$I13,Projection!$B$30:$B$46,0),MATCH(Summary!K$3,Projection!$BE$3:$BH$3,0))</f>
        <v>-5587.2</v>
      </c>
      <c r="L13" s="76">
        <f>INDEX(Projection!$BE$7:$BH$23,MATCH($I13,Projection!$B$7:$B$23,0),MATCH(Summary!L$3,Projection!$BE$3:$BH$3,0))-INDEX(Projection!$BE$30:$BH$46,MATCH(Summary!$I13,Projection!$B$30:$B$46,0),MATCH(Summary!L$3,Projection!$BE$3:$BH$3,0))</f>
        <v>-5587.2</v>
      </c>
      <c r="M13" s="76">
        <f>INDEX(Projection!$BE$7:$BH$23,MATCH($I13,Projection!$B$7:$B$23,0),MATCH(Summary!M$3,Projection!$BE$3:$BH$3,0))-INDEX(Projection!$BE$30:$BH$46,MATCH(Summary!$I13,Projection!$B$30:$B$46,0),MATCH(Summary!M$3,Projection!$BE$3:$BH$3,0))</f>
        <v>-5587.2</v>
      </c>
    </row>
    <row r="14" spans="1:13" ht="21" customHeight="1" x14ac:dyDescent="0.35">
      <c r="B14" s="29" t="s">
        <v>146</v>
      </c>
      <c r="C14" s="29">
        <f>C9+C13</f>
        <v>1750000</v>
      </c>
      <c r="D14" s="29">
        <f>D9+D13</f>
        <v>1750000</v>
      </c>
      <c r="E14" s="29">
        <f>E9+E13</f>
        <v>1750000</v>
      </c>
      <c r="F14" s="29">
        <f>F9+F13</f>
        <v>1750000</v>
      </c>
      <c r="G14" s="29">
        <f>G9+G13</f>
        <v>1750000</v>
      </c>
      <c r="I14" s="29" t="str">
        <f>Projection!B17</f>
        <v>Huddles</v>
      </c>
      <c r="J14" s="76">
        <f>INDEX(Projection!$BE$7:$BH$23,MATCH($I14,Projection!$B$7:$B$23,0),MATCH(Summary!J$3,Projection!$BE$3:$BH$3,0))-INDEX(Projection!$BE$30:$BH$46,MATCH(Summary!$I14,Projection!$B$30:$B$46,0),MATCH(Summary!J$3,Projection!$BE$3:$BH$3,0))</f>
        <v>-20061.199999999997</v>
      </c>
      <c r="K14" s="76">
        <f>INDEX(Projection!$BE$7:$BH$23,MATCH($I14,Projection!$B$7:$B$23,0),MATCH(Summary!K$3,Projection!$BE$3:$BH$3,0))-INDEX(Projection!$BE$30:$BH$46,MATCH(Summary!$I14,Projection!$B$30:$B$46,0),MATCH(Summary!K$3,Projection!$BE$3:$BH$3,0))</f>
        <v>-19061.199999999997</v>
      </c>
      <c r="L14" s="76">
        <f>INDEX(Projection!$BE$7:$BH$23,MATCH($I14,Projection!$B$7:$B$23,0),MATCH(Summary!L$3,Projection!$BE$3:$BH$3,0))-INDEX(Projection!$BE$30:$BH$46,MATCH(Summary!$I14,Projection!$B$30:$B$46,0),MATCH(Summary!L$3,Projection!$BE$3:$BH$3,0))</f>
        <v>-19061.199999999997</v>
      </c>
      <c r="M14" s="76">
        <f>INDEX(Projection!$BE$7:$BH$23,MATCH($I14,Projection!$B$7:$B$23,0),MATCH(Summary!M$3,Projection!$BE$3:$BH$3,0))-INDEX(Projection!$BE$30:$BH$46,MATCH(Summary!$I14,Projection!$B$30:$B$46,0),MATCH(Summary!M$3,Projection!$BE$3:$BH$3,0))</f>
        <v>-19061.199999999997</v>
      </c>
    </row>
    <row r="15" spans="1:13" ht="21" customHeight="1" x14ac:dyDescent="0.35">
      <c r="I15" s="29" t="str">
        <f>Projection!B18</f>
        <v>Health Care Assistants</v>
      </c>
      <c r="J15" s="76">
        <f>INDEX(Projection!$BE$7:$BH$23,MATCH($I15,Projection!$B$7:$B$23,0),MATCH(Summary!J$3,Projection!$BE$3:$BH$3,0))-INDEX(Projection!$BE$30:$BH$46,MATCH(Summary!$I15,Projection!$B$30:$B$46,0),MATCH(Summary!J$3,Projection!$BE$3:$BH$3,0))</f>
        <v>-24787.060109289614</v>
      </c>
      <c r="K15" s="76">
        <f>INDEX(Projection!$BE$7:$BH$23,MATCH($I15,Projection!$B$7:$B$23,0),MATCH(Summary!K$3,Projection!$BE$3:$BH$3,0))-INDEX(Projection!$BE$30:$BH$46,MATCH(Summary!$I15,Projection!$B$30:$B$46,0),MATCH(Summary!K$3,Projection!$BE$3:$BH$3,0))</f>
        <v>-39616.000000000007</v>
      </c>
      <c r="L15" s="76">
        <f>INDEX(Projection!$BE$7:$BH$23,MATCH($I15,Projection!$B$7:$B$23,0),MATCH(Summary!L$3,Projection!$BE$3:$BH$3,0))-INDEX(Projection!$BE$30:$BH$46,MATCH(Summary!$I15,Projection!$B$30:$B$46,0),MATCH(Summary!L$3,Projection!$BE$3:$BH$3,0))</f>
        <v>-39616.000000000007</v>
      </c>
      <c r="M15" s="76">
        <f>INDEX(Projection!$BE$7:$BH$23,MATCH($I15,Projection!$B$7:$B$23,0),MATCH(Summary!M$3,Projection!$BE$3:$BH$3,0))-INDEX(Projection!$BE$30:$BH$46,MATCH(Summary!$I15,Projection!$B$30:$B$46,0),MATCH(Summary!M$3,Projection!$BE$3:$BH$3,0))</f>
        <v>-39616.000000000007</v>
      </c>
    </row>
    <row r="16" spans="1:13" ht="21" customHeight="1" x14ac:dyDescent="0.35">
      <c r="B16" s="29" t="s">
        <v>147</v>
      </c>
      <c r="C16" s="29">
        <f>C6-C14</f>
        <v>630000</v>
      </c>
      <c r="D16" s="29">
        <f>D6-D14</f>
        <v>648869.63537974656</v>
      </c>
      <c r="E16" s="29">
        <f>E6-E14</f>
        <v>640034.71054621134</v>
      </c>
      <c r="F16" s="29">
        <f>F6-F14</f>
        <v>639783.59765083389</v>
      </c>
      <c r="G16" s="29">
        <f>G6-G14</f>
        <v>642901.45031506754</v>
      </c>
      <c r="I16" s="29" t="str">
        <f>Projection!B19</f>
        <v>Patient portals</v>
      </c>
      <c r="J16" s="76">
        <f>INDEX(Projection!$BE$7:$BH$23,MATCH($I16,Projection!$B$7:$B$23,0),MATCH(Summary!J$3,Projection!$BE$3:$BH$3,0))-INDEX(Projection!$BE$30:$BH$46,MATCH(Summary!$I16,Projection!$B$30:$B$46,0),MATCH(Summary!J$3,Projection!$BE$3:$BH$3,0))</f>
        <v>-3544.5496350364979</v>
      </c>
      <c r="K16" s="76">
        <f>INDEX(Projection!$BE$7:$BH$23,MATCH($I16,Projection!$B$7:$B$23,0),MATCH(Summary!K$3,Projection!$BE$3:$BH$3,0))-INDEX(Projection!$BE$30:$BH$46,MATCH(Summary!$I16,Projection!$B$30:$B$46,0),MATCH(Summary!K$3,Projection!$BE$3:$BH$3,0))</f>
        <v>-10076.648248175186</v>
      </c>
      <c r="L16" s="76">
        <f>INDEX(Projection!$BE$7:$BH$23,MATCH($I16,Projection!$B$7:$B$23,0),MATCH(Summary!L$3,Projection!$BE$3:$BH$3,0))-INDEX(Projection!$BE$30:$BH$46,MATCH(Summary!$I16,Projection!$B$30:$B$46,0),MATCH(Summary!L$3,Projection!$BE$3:$BH$3,0))</f>
        <v>-16599.811021897818</v>
      </c>
      <c r="M16" s="76">
        <f>INDEX(Projection!$BE$7:$BH$23,MATCH($I16,Projection!$B$7:$B$23,0),MATCH(Summary!M$3,Projection!$BE$3:$BH$3,0))-INDEX(Projection!$BE$30:$BH$46,MATCH(Summary!$I16,Projection!$B$30:$B$46,0),MATCH(Summary!M$3,Projection!$BE$3:$BH$3,0))</f>
        <v>-19587.360000000008</v>
      </c>
    </row>
    <row r="17" spans="2:25" ht="21" customHeight="1" x14ac:dyDescent="0.35">
      <c r="I17" s="29" t="str">
        <f>Projection!B20</f>
        <v>Community Engagement</v>
      </c>
      <c r="J17" s="76">
        <f>INDEX(Projection!$BE$7:$BH$23,MATCH($I17,Projection!$B$7:$B$23,0),MATCH(Summary!J$3,Projection!$BE$3:$BH$3,0))-INDEX(Projection!$BE$30:$BH$46,MATCH(Summary!$I17,Projection!$B$30:$B$46,0),MATCH(Summary!J$3,Projection!$BE$3:$BH$3,0))</f>
        <v>0</v>
      </c>
      <c r="K17" s="76">
        <f>INDEX(Projection!$BE$7:$BH$23,MATCH($I17,Projection!$B$7:$B$23,0),MATCH(Summary!K$3,Projection!$BE$3:$BH$3,0))-INDEX(Projection!$BE$30:$BH$46,MATCH(Summary!$I17,Projection!$B$30:$B$46,0),MATCH(Summary!K$3,Projection!$BE$3:$BH$3,0))</f>
        <v>0</v>
      </c>
      <c r="L17" s="76">
        <f>INDEX(Projection!$BE$7:$BH$23,MATCH($I17,Projection!$B$7:$B$23,0),MATCH(Summary!L$3,Projection!$BE$3:$BH$3,0))-INDEX(Projection!$BE$30:$BH$46,MATCH(Summary!$I17,Projection!$B$30:$B$46,0),MATCH(Summary!L$3,Projection!$BE$3:$BH$3,0))</f>
        <v>0</v>
      </c>
      <c r="M17" s="76">
        <f>INDEX(Projection!$BE$7:$BH$23,MATCH($I17,Projection!$B$7:$B$23,0),MATCH(Summary!M$3,Projection!$BE$3:$BH$3,0))-INDEX(Projection!$BE$30:$BH$46,MATCH(Summary!$I17,Projection!$B$30:$B$46,0),MATCH(Summary!M$3,Projection!$BE$3:$BH$3,0))</f>
        <v>0</v>
      </c>
    </row>
    <row r="18" spans="2:25" ht="21" customHeight="1" x14ac:dyDescent="0.35">
      <c r="B18" s="29" t="s">
        <v>31</v>
      </c>
      <c r="C18" s="29">
        <f>'Master Data'!O25</f>
        <v>550000</v>
      </c>
      <c r="D18" s="29">
        <f>$C$18+INDEX(Projection!$BE$48:$BH$48,1,MATCH(Summary!D$3,Projection!$BE$3:$BH$3,0))</f>
        <v>584056.64745560114</v>
      </c>
      <c r="E18" s="29">
        <f>$C$18+INDEX(Projection!$BE$48:$BH$48,1,MATCH(Summary!E$3,Projection!$BE$3:$BH$3,0))</f>
        <v>618314.6875</v>
      </c>
      <c r="F18" s="29">
        <f>$C$18+INDEX(Projection!$BE$48:$BH$48,1,MATCH(Summary!F$3,Projection!$BE$3:$BH$3,0))</f>
        <v>618314.6875</v>
      </c>
      <c r="G18" s="29">
        <f>$C$18+INDEX(Projection!$BE$48:$BH$48,1,MATCH(Summary!G$3,Projection!$BE$3:$BH$3,0))</f>
        <v>618314.6875</v>
      </c>
      <c r="I18" s="29" t="str">
        <f>Projection!B21</f>
        <v>Integration</v>
      </c>
      <c r="J18" s="76">
        <f>INDEX(Projection!$BE$7:$BH$23,MATCH($I18,Projection!$B$7:$B$23,0),MATCH(Summary!J$3,Projection!$BE$3:$BH$3,0))-INDEX(Projection!$BE$30:$BH$46,MATCH(Summary!$I18,Projection!$B$30:$B$46,0),MATCH(Summary!J$3,Projection!$BE$3:$BH$3,0))</f>
        <v>0</v>
      </c>
      <c r="K18" s="76">
        <f>INDEX(Projection!$BE$7:$BH$23,MATCH($I18,Projection!$B$7:$B$23,0),MATCH(Summary!K$3,Projection!$BE$3:$BH$3,0))-INDEX(Projection!$BE$30:$BH$46,MATCH(Summary!$I18,Projection!$B$30:$B$46,0),MATCH(Summary!K$3,Projection!$BE$3:$BH$3,0))</f>
        <v>0</v>
      </c>
      <c r="L18" s="76">
        <f>INDEX(Projection!$BE$7:$BH$23,MATCH($I18,Projection!$B$7:$B$23,0),MATCH(Summary!L$3,Projection!$BE$3:$BH$3,0))-INDEX(Projection!$BE$30:$BH$46,MATCH(Summary!$I18,Projection!$B$30:$B$46,0),MATCH(Summary!L$3,Projection!$BE$3:$BH$3,0))</f>
        <v>0</v>
      </c>
      <c r="M18" s="76">
        <f>INDEX(Projection!$BE$7:$BH$23,MATCH($I18,Projection!$B$7:$B$23,0),MATCH(Summary!M$3,Projection!$BE$3:$BH$3,0))-INDEX(Projection!$BE$30:$BH$46,MATCH(Summary!$I18,Projection!$B$30:$B$46,0),MATCH(Summary!M$3,Projection!$BE$3:$BH$3,0))</f>
        <v>0</v>
      </c>
    </row>
    <row r="19" spans="2:25" ht="21" customHeight="1" x14ac:dyDescent="0.35">
      <c r="B19" s="45"/>
      <c r="I19" s="29" t="str">
        <f>Projection!B22</f>
        <v>Quality &amp; Safety</v>
      </c>
      <c r="J19" s="76">
        <f>INDEX(Projection!$BE$7:$BH$23,MATCH($I19,Projection!$B$7:$B$23,0),MATCH(Summary!J$3,Projection!$BE$3:$BH$3,0))-INDEX(Projection!$BE$30:$BH$46,MATCH(Summary!$I19,Projection!$B$30:$B$46,0),MATCH(Summary!J$3,Projection!$BE$3:$BH$3,0))</f>
        <v>0</v>
      </c>
      <c r="K19" s="76">
        <f>INDEX(Projection!$BE$7:$BH$23,MATCH($I19,Projection!$B$7:$B$23,0),MATCH(Summary!K$3,Projection!$BE$3:$BH$3,0))-INDEX(Projection!$BE$30:$BH$46,MATCH(Summary!$I19,Projection!$B$30:$B$46,0),MATCH(Summary!K$3,Projection!$BE$3:$BH$3,0))</f>
        <v>0</v>
      </c>
      <c r="L19" s="76">
        <f>INDEX(Projection!$BE$7:$BH$23,MATCH($I19,Projection!$B$7:$B$23,0),MATCH(Summary!L$3,Projection!$BE$3:$BH$3,0))-INDEX(Projection!$BE$30:$BH$46,MATCH(Summary!$I19,Projection!$B$30:$B$46,0),MATCH(Summary!L$3,Projection!$BE$3:$BH$3,0))</f>
        <v>0</v>
      </c>
      <c r="M19" s="76">
        <f>INDEX(Projection!$BE$7:$BH$23,MATCH($I19,Projection!$B$7:$B$23,0),MATCH(Summary!M$3,Projection!$BE$3:$BH$3,0))-INDEX(Projection!$BE$30:$BH$46,MATCH(Summary!$I19,Projection!$B$30:$B$46,0),MATCH(Summary!M$3,Projection!$BE$3:$BH$3,0))</f>
        <v>0</v>
      </c>
    </row>
    <row r="20" spans="2:25" ht="21" customHeight="1" x14ac:dyDescent="0.35">
      <c r="B20" s="88" t="s">
        <v>150</v>
      </c>
      <c r="C20" s="29">
        <f>C16-C18</f>
        <v>80000</v>
      </c>
      <c r="D20" s="29">
        <f>D16-D18</f>
        <v>64812.987924145418</v>
      </c>
      <c r="E20" s="29">
        <f>E16-E18</f>
        <v>21720.02304621134</v>
      </c>
      <c r="F20" s="29">
        <f>F16-F18</f>
        <v>21468.910150833894</v>
      </c>
      <c r="G20" s="29">
        <f>G16-G18</f>
        <v>24586.762815067545</v>
      </c>
      <c r="I20" s="29" t="str">
        <f>Projection!B23</f>
        <v>Other (staff release for training and implementation activity)</v>
      </c>
      <c r="J20" s="76">
        <f>INDEX(Projection!$BE$7:$BH$23,MATCH($I20,Projection!$B$7:$B$23,0),MATCH(Summary!J$3,Projection!$BE$3:$BH$3,0))-INDEX(Projection!$BE$30:$BH$46,MATCH(Summary!$I20,Projection!$B$30:$B$46,0),MATCH(Summary!J$3,Projection!$BE$3:$BH$3,0))</f>
        <v>-731.19999999999982</v>
      </c>
      <c r="K20" s="76">
        <f>INDEX(Projection!$BE$7:$BH$23,MATCH($I20,Projection!$B$7:$B$23,0),MATCH(Summary!K$3,Projection!$BE$3:$BH$3,0))-INDEX(Projection!$BE$30:$BH$46,MATCH(Summary!$I20,Projection!$B$30:$B$46,0),MATCH(Summary!K$3,Projection!$BE$3:$BH$3,0))</f>
        <v>-731.19999999999982</v>
      </c>
      <c r="L20" s="76">
        <f>INDEX(Projection!$BE$7:$BH$23,MATCH($I20,Projection!$B$7:$B$23,0),MATCH(Summary!L$3,Projection!$BE$3:$BH$3,0))-INDEX(Projection!$BE$30:$BH$46,MATCH(Summary!$I20,Projection!$B$30:$B$46,0),MATCH(Summary!L$3,Projection!$BE$3:$BH$3,0))</f>
        <v>-731.19999999999982</v>
      </c>
      <c r="M20" s="76">
        <f>INDEX(Projection!$BE$7:$BH$23,MATCH($I20,Projection!$B$7:$B$23,0),MATCH(Summary!M$3,Projection!$BE$3:$BH$3,0))-INDEX(Projection!$BE$30:$BH$46,MATCH(Summary!$I20,Projection!$B$30:$B$46,0),MATCH(Summary!M$3,Projection!$BE$3:$BH$3,0))</f>
        <v>0</v>
      </c>
    </row>
    <row r="21" spans="2:25" ht="21" customHeight="1" x14ac:dyDescent="0.35">
      <c r="B21" s="89"/>
      <c r="J21" s="76">
        <f>SUM(J4:J20)</f>
        <v>-15187.012075854527</v>
      </c>
      <c r="K21" s="76">
        <f>SUM(K4:K20)</f>
        <v>-58279.976953788922</v>
      </c>
      <c r="L21" s="76">
        <f>SUM(L4:L20)</f>
        <v>-58531.089849166056</v>
      </c>
      <c r="M21" s="76">
        <f>SUM(M4:M20)</f>
        <v>-55413.237184932477</v>
      </c>
    </row>
    <row r="22" spans="2:25" ht="21" customHeight="1" x14ac:dyDescent="0.35">
      <c r="B22" s="88" t="s">
        <v>33</v>
      </c>
      <c r="C22" s="19">
        <f>'Master Data'!O29</f>
        <v>0</v>
      </c>
      <c r="D22" s="29">
        <f>C22</f>
        <v>0</v>
      </c>
      <c r="E22" s="29">
        <f t="shared" ref="E22:G23" si="1">D22</f>
        <v>0</v>
      </c>
      <c r="F22" s="29">
        <f t="shared" si="1"/>
        <v>0</v>
      </c>
      <c r="G22" s="29">
        <f t="shared" si="1"/>
        <v>0</v>
      </c>
    </row>
    <row r="23" spans="2:25" ht="21" customHeight="1" x14ac:dyDescent="0.35">
      <c r="B23" s="88" t="s">
        <v>151</v>
      </c>
      <c r="C23" s="19">
        <f>'Master Data'!O30</f>
        <v>0</v>
      </c>
      <c r="D23" s="29">
        <f>C23</f>
        <v>0</v>
      </c>
      <c r="E23" s="29">
        <f t="shared" si="1"/>
        <v>0</v>
      </c>
      <c r="F23" s="29">
        <f t="shared" si="1"/>
        <v>0</v>
      </c>
      <c r="G23" s="29">
        <f t="shared" si="1"/>
        <v>0</v>
      </c>
      <c r="J23" s="99">
        <v>1</v>
      </c>
      <c r="K23" s="113">
        <v>1</v>
      </c>
      <c r="L23" s="113">
        <v>1</v>
      </c>
      <c r="M23" s="113">
        <v>1</v>
      </c>
      <c r="N23" s="113">
        <v>2</v>
      </c>
      <c r="O23" s="113">
        <v>2</v>
      </c>
      <c r="P23" s="113">
        <v>2</v>
      </c>
      <c r="Q23" s="113">
        <v>2</v>
      </c>
      <c r="R23" s="113">
        <v>3</v>
      </c>
      <c r="S23" s="113">
        <v>3</v>
      </c>
      <c r="T23" s="113">
        <v>3</v>
      </c>
      <c r="U23" s="113">
        <v>3</v>
      </c>
      <c r="V23" s="113">
        <v>4</v>
      </c>
      <c r="W23" s="113">
        <v>4</v>
      </c>
      <c r="X23" s="113">
        <v>4</v>
      </c>
      <c r="Y23" s="113">
        <v>4</v>
      </c>
    </row>
    <row r="24" spans="2:25" ht="21" customHeight="1" x14ac:dyDescent="0.35">
      <c r="B24" s="89"/>
      <c r="I24" s="29" t="s">
        <v>179</v>
      </c>
      <c r="J24" s="98" t="s">
        <v>12</v>
      </c>
      <c r="K24" s="98" t="s">
        <v>13</v>
      </c>
      <c r="L24" s="98" t="s">
        <v>14</v>
      </c>
      <c r="M24" s="98" t="s">
        <v>25</v>
      </c>
      <c r="N24" s="98" t="s">
        <v>12</v>
      </c>
      <c r="O24" s="98" t="s">
        <v>13</v>
      </c>
      <c r="P24" s="98" t="s">
        <v>14</v>
      </c>
      <c r="Q24" s="98" t="s">
        <v>25</v>
      </c>
      <c r="R24" s="98" t="s">
        <v>12</v>
      </c>
      <c r="S24" s="98" t="s">
        <v>13</v>
      </c>
      <c r="T24" s="98" t="s">
        <v>14</v>
      </c>
      <c r="U24" s="98" t="s">
        <v>25</v>
      </c>
      <c r="V24" s="98" t="s">
        <v>12</v>
      </c>
      <c r="W24" s="98" t="s">
        <v>13</v>
      </c>
      <c r="X24" s="98" t="s">
        <v>14</v>
      </c>
      <c r="Y24" s="98" t="s">
        <v>25</v>
      </c>
    </row>
    <row r="25" spans="2:25" ht="21" customHeight="1" x14ac:dyDescent="0.35">
      <c r="B25" s="88" t="s">
        <v>152</v>
      </c>
      <c r="C25" s="29">
        <f>C20+C22-C23</f>
        <v>80000</v>
      </c>
      <c r="D25" s="29">
        <f>D20+D22-D23</f>
        <v>64812.987924145418</v>
      </c>
      <c r="E25" s="29">
        <f>E20+E22-E23</f>
        <v>21720.02304621134</v>
      </c>
      <c r="F25" s="29">
        <f>F20+F22-F23</f>
        <v>21468.910150833894</v>
      </c>
      <c r="G25" s="29">
        <f>G20+G22-G23</f>
        <v>24586.762815067545</v>
      </c>
      <c r="I25" s="29" t="str">
        <f>Projection!B7</f>
        <v>HCH Capitation Funding - Implementation</v>
      </c>
      <c r="J25" s="76">
        <f>INDEX(Projection!$BE$53:$BH$69,MATCH(Summary!$I25,Projection!$B$53:$B$69,0),MATCH(Summary!J$23,Projection!$BE$3:$BH$3))</f>
        <v>0</v>
      </c>
      <c r="K25" s="76">
        <f>INDEX(Projection!$BE$95:$BH$111,MATCH(Summary!$I25,Projection!$B$53:$B$69,0),MATCH(Summary!K$23,Projection!$BE$3:$BH$3))</f>
        <v>0</v>
      </c>
      <c r="L25" s="76">
        <f>INDEX(Projection!$BE$116:$BH$132,MATCH(Summary!$I25,Projection!$B$53:$B$69,0),MATCH(Summary!L$23,Projection!$BE$3:$BH$3))</f>
        <v>0</v>
      </c>
      <c r="M25" s="76">
        <f>INDEX(Projection!$BE$137:$BH$153,MATCH(Summary!$I25,Projection!$B$53:$B$69,0),MATCH(Summary!M$23,Projection!$BE$3:$BH$3))</f>
        <v>0</v>
      </c>
      <c r="N25" s="76">
        <f>INDEX(Projection!$BE$53:$BH$69,MATCH(Summary!$I25,Projection!$B$53:$B$69,0),MATCH(Summary!N$23,Projection!$BE$3:$BH$3))</f>
        <v>0</v>
      </c>
      <c r="O25" s="76">
        <f>INDEX(Projection!$BE$95:$BH$111,MATCH(Summary!$I25,Projection!$B$53:$B$69,0),MATCH(Summary!O$23,Projection!$BE$3:$BH$3))</f>
        <v>0</v>
      </c>
      <c r="P25" s="76">
        <f>INDEX(Projection!$BE$116:$BH$132,MATCH(Summary!$I25,Projection!$B$53:$B$69,0),MATCH(Summary!P$23,Projection!$BE$3:$BH$3))</f>
        <v>0</v>
      </c>
      <c r="Q25" s="76">
        <f>INDEX(Projection!$BE$137:$BH$153,MATCH(Summary!$I25,Projection!$B$53:$B$69,0),MATCH(Summary!Q$23,Projection!$BE$3:$BH$3))</f>
        <v>0</v>
      </c>
      <c r="R25" s="76">
        <f>INDEX(Projection!$BE$53:$BH$69,MATCH(Summary!$I25,Projection!$B$53:$B$69,0),MATCH(Summary!R$23,Projection!$BE$3:$BH$3))</f>
        <v>0</v>
      </c>
      <c r="S25" s="76">
        <f>INDEX(Projection!$BE$95:$BH$111,MATCH(Summary!$I25,Projection!$B$53:$B$69,0),MATCH(Summary!S$23,Projection!$BE$3:$BH$3))</f>
        <v>0</v>
      </c>
      <c r="T25" s="76">
        <f>INDEX(Projection!$BE$116:$BH$132,MATCH(Summary!$I25,Projection!$B$53:$B$69,0),MATCH(Summary!T$23,Projection!$BE$3:$BH$3))</f>
        <v>0</v>
      </c>
      <c r="U25" s="76">
        <f>INDEX(Projection!$BE$137:$BH$153,MATCH(Summary!$I25,Projection!$B$53:$B$69,0),MATCH(Summary!U$23,Projection!$BE$3:$BH$3))</f>
        <v>0</v>
      </c>
      <c r="V25" s="76">
        <f>INDEX(Projection!$BE$53:$BH$69,MATCH(Summary!$I25,Projection!$B$53:$B$69,0),MATCH(Summary!V$23,Projection!$BE$3:$BH$3))</f>
        <v>0</v>
      </c>
      <c r="W25" s="76">
        <f>INDEX(Projection!$BE$95:$BH$111,MATCH(Summary!$I25,Projection!$B$53:$B$69,0),MATCH(Summary!W$23,Projection!$BE$3:$BH$3))</f>
        <v>0</v>
      </c>
      <c r="X25" s="76">
        <f>INDEX(Projection!$BE$116:$BH$132,MATCH(Summary!$I25,Projection!$B$53:$B$69,0),MATCH(Summary!X$23,Projection!$BE$3:$BH$3))</f>
        <v>0</v>
      </c>
      <c r="Y25" s="76">
        <f>INDEX(Projection!$BE$137:$BH$153,MATCH(Summary!$I25,Projection!$B$53:$B$69,0),MATCH(Summary!Y$23,Projection!$BE$3:$BH$3))</f>
        <v>0</v>
      </c>
    </row>
    <row r="26" spans="2:25" ht="21" customHeight="1" x14ac:dyDescent="0.35">
      <c r="I26" s="29" t="str">
        <f>Projection!B8</f>
        <v>HCH Capitation Funding - At Risk</v>
      </c>
      <c r="J26" s="76">
        <f>INDEX(Projection!$BE$53:$BH$69,MATCH(Summary!$I26,Projection!$B$53:$B$69,0),MATCH(Summary!J$23,Projection!$BE$3:$BH$3))</f>
        <v>0</v>
      </c>
      <c r="K26" s="76">
        <f>INDEX(Projection!$BE$95:$BH$111,MATCH(Summary!$I26,Projection!$B$53:$B$69,0),MATCH(Summary!K$23,Projection!$BE$3:$BH$3))</f>
        <v>0</v>
      </c>
      <c r="L26" s="76">
        <f>INDEX(Projection!$BE$116:$BH$132,MATCH(Summary!$I26,Projection!$B$53:$B$69,0),MATCH(Summary!L$23,Projection!$BE$3:$BH$3))</f>
        <v>0</v>
      </c>
      <c r="M26" s="76">
        <f>INDEX(Projection!$BE$137:$BH$153,MATCH(Summary!$I26,Projection!$B$53:$B$69,0),MATCH(Summary!M$23,Projection!$BE$3:$BH$3))</f>
        <v>0</v>
      </c>
      <c r="N26" s="76">
        <f>INDEX(Projection!$BE$53:$BH$69,MATCH(Summary!$I26,Projection!$B$53:$B$69,0),MATCH(Summary!N$23,Projection!$BE$3:$BH$3))</f>
        <v>0</v>
      </c>
      <c r="O26" s="76">
        <f>INDEX(Projection!$BE$95:$BH$111,MATCH(Summary!$I26,Projection!$B$53:$B$69,0),MATCH(Summary!O$23,Projection!$BE$3:$BH$3))</f>
        <v>0</v>
      </c>
      <c r="P26" s="76">
        <f>INDEX(Projection!$BE$116:$BH$132,MATCH(Summary!$I26,Projection!$B$53:$B$69,0),MATCH(Summary!P$23,Projection!$BE$3:$BH$3))</f>
        <v>0</v>
      </c>
      <c r="Q26" s="76">
        <f>INDEX(Projection!$BE$137:$BH$153,MATCH(Summary!$I26,Projection!$B$53:$B$69,0),MATCH(Summary!Q$23,Projection!$BE$3:$BH$3))</f>
        <v>0</v>
      </c>
      <c r="R26" s="76">
        <f>INDEX(Projection!$BE$53:$BH$69,MATCH(Summary!$I26,Projection!$B$53:$B$69,0),MATCH(Summary!R$23,Projection!$BE$3:$BH$3))</f>
        <v>0</v>
      </c>
      <c r="S26" s="76">
        <f>INDEX(Projection!$BE$95:$BH$111,MATCH(Summary!$I26,Projection!$B$53:$B$69,0),MATCH(Summary!S$23,Projection!$BE$3:$BH$3))</f>
        <v>0</v>
      </c>
      <c r="T26" s="76">
        <f>INDEX(Projection!$BE$116:$BH$132,MATCH(Summary!$I26,Projection!$B$53:$B$69,0),MATCH(Summary!T$23,Projection!$BE$3:$BH$3))</f>
        <v>0</v>
      </c>
      <c r="U26" s="76">
        <f>INDEX(Projection!$BE$137:$BH$153,MATCH(Summary!$I26,Projection!$B$53:$B$69,0),MATCH(Summary!U$23,Projection!$BE$3:$BH$3))</f>
        <v>0</v>
      </c>
      <c r="V26" s="76">
        <f>INDEX(Projection!$BE$53:$BH$69,MATCH(Summary!$I26,Projection!$B$53:$B$69,0),MATCH(Summary!V$23,Projection!$BE$3:$BH$3))</f>
        <v>0</v>
      </c>
      <c r="W26" s="76">
        <f>INDEX(Projection!$BE$95:$BH$111,MATCH(Summary!$I26,Projection!$B$53:$B$69,0),MATCH(Summary!W$23,Projection!$BE$3:$BH$3))</f>
        <v>0</v>
      </c>
      <c r="X26" s="76">
        <f>INDEX(Projection!$BE$116:$BH$132,MATCH(Summary!$I26,Projection!$B$53:$B$69,0),MATCH(Summary!X$23,Projection!$BE$3:$BH$3))</f>
        <v>0</v>
      </c>
      <c r="Y26" s="76">
        <f>INDEX(Projection!$BE$137:$BH$153,MATCH(Summary!$I26,Projection!$B$53:$B$69,0),MATCH(Summary!Y$23,Projection!$BE$3:$BH$3))</f>
        <v>0</v>
      </c>
    </row>
    <row r="27" spans="2:25" ht="21" customHeight="1" x14ac:dyDescent="0.35">
      <c r="B27" s="88" t="s">
        <v>156</v>
      </c>
      <c r="D27" s="76">
        <f>D25-$C$25</f>
        <v>-15187.012075854582</v>
      </c>
      <c r="E27" s="76">
        <f>E25-$C$25</f>
        <v>-58279.97695378866</v>
      </c>
      <c r="F27" s="76">
        <f>F25-$C$25</f>
        <v>-58531.089849166106</v>
      </c>
      <c r="G27" s="76">
        <f>G25-$C$25</f>
        <v>-55413.237184932455</v>
      </c>
      <c r="I27" s="29" t="str">
        <f>Projection!B9</f>
        <v>Equity</v>
      </c>
      <c r="J27" s="76">
        <f>INDEX(Projection!$BE$53:$BH$69,MATCH(Summary!$I27,Projection!$B$53:$B$69,0),MATCH(Summary!J$23,Projection!$BE$3:$BH$3))</f>
        <v>0</v>
      </c>
      <c r="K27" s="76">
        <f>INDEX(Projection!$BE$95:$BH$111,MATCH(Summary!$I27,Projection!$B$53:$B$69,0),MATCH(Summary!K$23,Projection!$BE$3:$BH$3))</f>
        <v>0</v>
      </c>
      <c r="L27" s="76">
        <f>INDEX(Projection!$BE$116:$BH$132,MATCH(Summary!$I27,Projection!$B$53:$B$69,0),MATCH(Summary!L$23,Projection!$BE$3:$BH$3))</f>
        <v>0</v>
      </c>
      <c r="M27" s="76">
        <f>INDEX(Projection!$BE$137:$BH$153,MATCH(Summary!$I27,Projection!$B$53:$B$69,0),MATCH(Summary!M$23,Projection!$BE$3:$BH$3))</f>
        <v>0</v>
      </c>
      <c r="N27" s="76">
        <f>INDEX(Projection!$BE$53:$BH$69,MATCH(Summary!$I27,Projection!$B$53:$B$69,0),MATCH(Summary!N$23,Projection!$BE$3:$BH$3))</f>
        <v>0</v>
      </c>
      <c r="O27" s="76">
        <f>INDEX(Projection!$BE$95:$BH$111,MATCH(Summary!$I27,Projection!$B$53:$B$69,0),MATCH(Summary!O$23,Projection!$BE$3:$BH$3))</f>
        <v>0</v>
      </c>
      <c r="P27" s="76">
        <f>INDEX(Projection!$BE$116:$BH$132,MATCH(Summary!$I27,Projection!$B$53:$B$69,0),MATCH(Summary!P$23,Projection!$BE$3:$BH$3))</f>
        <v>0</v>
      </c>
      <c r="Q27" s="76">
        <f>INDEX(Projection!$BE$137:$BH$153,MATCH(Summary!$I27,Projection!$B$53:$B$69,0),MATCH(Summary!Q$23,Projection!$BE$3:$BH$3))</f>
        <v>0</v>
      </c>
      <c r="R27" s="76">
        <f>INDEX(Projection!$BE$53:$BH$69,MATCH(Summary!$I27,Projection!$B$53:$B$69,0),MATCH(Summary!R$23,Projection!$BE$3:$BH$3))</f>
        <v>0</v>
      </c>
      <c r="S27" s="76">
        <f>INDEX(Projection!$BE$95:$BH$111,MATCH(Summary!$I27,Projection!$B$53:$B$69,0),MATCH(Summary!S$23,Projection!$BE$3:$BH$3))</f>
        <v>0</v>
      </c>
      <c r="T27" s="76">
        <f>INDEX(Projection!$BE$116:$BH$132,MATCH(Summary!$I27,Projection!$B$53:$B$69,0),MATCH(Summary!T$23,Projection!$BE$3:$BH$3))</f>
        <v>0</v>
      </c>
      <c r="U27" s="76">
        <f>INDEX(Projection!$BE$137:$BH$153,MATCH(Summary!$I27,Projection!$B$53:$B$69,0),MATCH(Summary!U$23,Projection!$BE$3:$BH$3))</f>
        <v>0</v>
      </c>
      <c r="V27" s="76">
        <f>INDEX(Projection!$BE$53:$BH$69,MATCH(Summary!$I27,Projection!$B$53:$B$69,0),MATCH(Summary!V$23,Projection!$BE$3:$BH$3))</f>
        <v>0</v>
      </c>
      <c r="W27" s="76">
        <f>INDEX(Projection!$BE$95:$BH$111,MATCH(Summary!$I27,Projection!$B$53:$B$69,0),MATCH(Summary!W$23,Projection!$BE$3:$BH$3))</f>
        <v>0</v>
      </c>
      <c r="X27" s="76">
        <f>INDEX(Projection!$BE$116:$BH$132,MATCH(Summary!$I27,Projection!$B$53:$B$69,0),MATCH(Summary!X$23,Projection!$BE$3:$BH$3))</f>
        <v>0</v>
      </c>
      <c r="Y27" s="76">
        <f>INDEX(Projection!$BE$137:$BH$153,MATCH(Summary!$I27,Projection!$B$53:$B$69,0),MATCH(Summary!Y$23,Projection!$BE$3:$BH$3))</f>
        <v>0</v>
      </c>
    </row>
    <row r="28" spans="2:25" ht="21" customHeight="1" x14ac:dyDescent="0.35">
      <c r="I28" s="29" t="str">
        <f>Projection!B10</f>
        <v>Call Management</v>
      </c>
      <c r="J28" s="76">
        <f>INDEX(Projection!$BE$53:$BH$69,MATCH(Summary!$I28,Projection!$B$53:$B$69,0),MATCH(Summary!J$23,Projection!$BE$3:$BH$3))</f>
        <v>0</v>
      </c>
      <c r="K28" s="76">
        <f>INDEX(Projection!$BE$95:$BH$111,MATCH(Summary!$I28,Projection!$B$53:$B$69,0),MATCH(Summary!K$23,Projection!$BE$3:$BH$3))</f>
        <v>0</v>
      </c>
      <c r="L28" s="76">
        <f>INDEX(Projection!$BE$116:$BH$132,MATCH(Summary!$I28,Projection!$B$53:$B$69,0),MATCH(Summary!L$23,Projection!$BE$3:$BH$3))</f>
        <v>0</v>
      </c>
      <c r="M28" s="76">
        <f>INDEX(Projection!$BE$137:$BH$153,MATCH(Summary!$I28,Projection!$B$53:$B$69,0),MATCH(Summary!M$23,Projection!$BE$3:$BH$3))</f>
        <v>115200</v>
      </c>
      <c r="N28" s="76">
        <f>INDEX(Projection!$BE$53:$BH$69,MATCH(Summary!$I28,Projection!$B$53:$B$69,0),MATCH(Summary!N$23,Projection!$BE$3:$BH$3))</f>
        <v>0</v>
      </c>
      <c r="O28" s="76">
        <f>INDEX(Projection!$BE$95:$BH$111,MATCH(Summary!$I28,Projection!$B$53:$B$69,0),MATCH(Summary!O$23,Projection!$BE$3:$BH$3))</f>
        <v>0</v>
      </c>
      <c r="P28" s="76">
        <f>INDEX(Projection!$BE$116:$BH$132,MATCH(Summary!$I28,Projection!$B$53:$B$69,0),MATCH(Summary!P$23,Projection!$BE$3:$BH$3))</f>
        <v>0</v>
      </c>
      <c r="Q28" s="76">
        <f>INDEX(Projection!$BE$137:$BH$153,MATCH(Summary!$I28,Projection!$B$53:$B$69,0),MATCH(Summary!Q$23,Projection!$BE$3:$BH$3))</f>
        <v>115200</v>
      </c>
      <c r="R28" s="76">
        <f>INDEX(Projection!$BE$53:$BH$69,MATCH(Summary!$I28,Projection!$B$53:$B$69,0),MATCH(Summary!R$23,Projection!$BE$3:$BH$3))</f>
        <v>0</v>
      </c>
      <c r="S28" s="76">
        <f>INDEX(Projection!$BE$95:$BH$111,MATCH(Summary!$I28,Projection!$B$53:$B$69,0),MATCH(Summary!S$23,Projection!$BE$3:$BH$3))</f>
        <v>0</v>
      </c>
      <c r="T28" s="76">
        <f>INDEX(Projection!$BE$116:$BH$132,MATCH(Summary!$I28,Projection!$B$53:$B$69,0),MATCH(Summary!T$23,Projection!$BE$3:$BH$3))</f>
        <v>0</v>
      </c>
      <c r="U28" s="76">
        <f>INDEX(Projection!$BE$137:$BH$153,MATCH(Summary!$I28,Projection!$B$53:$B$69,0),MATCH(Summary!U$23,Projection!$BE$3:$BH$3))</f>
        <v>115200</v>
      </c>
      <c r="V28" s="76">
        <f>INDEX(Projection!$BE$53:$BH$69,MATCH(Summary!$I28,Projection!$B$53:$B$69,0),MATCH(Summary!V$23,Projection!$BE$3:$BH$3))</f>
        <v>0</v>
      </c>
      <c r="W28" s="76">
        <f>INDEX(Projection!$BE$95:$BH$111,MATCH(Summary!$I28,Projection!$B$53:$B$69,0),MATCH(Summary!W$23,Projection!$BE$3:$BH$3))</f>
        <v>0</v>
      </c>
      <c r="X28" s="76">
        <f>INDEX(Projection!$BE$116:$BH$132,MATCH(Summary!$I28,Projection!$B$53:$B$69,0),MATCH(Summary!X$23,Projection!$BE$3:$BH$3))</f>
        <v>0</v>
      </c>
      <c r="Y28" s="76">
        <f>INDEX(Projection!$BE$137:$BH$153,MATCH(Summary!$I28,Projection!$B$53:$B$69,0),MATCH(Summary!Y$23,Projection!$BE$3:$BH$3))</f>
        <v>115200</v>
      </c>
    </row>
    <row r="29" spans="2:25" ht="21" customHeight="1" x14ac:dyDescent="0.35">
      <c r="B29" s="199" t="s">
        <v>186</v>
      </c>
      <c r="C29" s="199"/>
      <c r="D29" s="199"/>
      <c r="E29" s="199"/>
      <c r="F29" s="199"/>
      <c r="G29" s="199"/>
      <c r="I29" s="29" t="str">
        <f>Projection!B11</f>
        <v>GP triage</v>
      </c>
      <c r="J29" s="76">
        <f>INDEX(Projection!$BE$53:$BH$69,MATCH(Summary!$I29,Projection!$B$53:$B$69,0),MATCH(Summary!J$23,Projection!$BE$3:$BH$3))</f>
        <v>-57735</v>
      </c>
      <c r="K29" s="76">
        <f>INDEX(Projection!$BE$95:$BH$111,MATCH(Summary!$I29,Projection!$B$53:$B$69,0),MATCH(Summary!K$23,Projection!$BE$3:$BH$3))</f>
        <v>9213.75</v>
      </c>
      <c r="L29" s="76">
        <f>INDEX(Projection!$BE$116:$BH$132,MATCH(Summary!$I29,Projection!$B$53:$B$69,0),MATCH(Summary!L$23,Projection!$BE$3:$BH$3))</f>
        <v>0</v>
      </c>
      <c r="M29" s="76">
        <f>INDEX(Projection!$BE$137:$BH$153,MATCH(Summary!$I29,Projection!$B$53:$B$69,0),MATCH(Summary!M$23,Projection!$BE$3:$BH$3))</f>
        <v>0</v>
      </c>
      <c r="N29" s="76">
        <f>INDEX(Projection!$BE$53:$BH$69,MATCH(Summary!$I29,Projection!$B$53:$B$69,0),MATCH(Summary!N$23,Projection!$BE$3:$BH$3))</f>
        <v>-76980</v>
      </c>
      <c r="O29" s="76">
        <f>INDEX(Projection!$BE$95:$BH$111,MATCH(Summary!$I29,Projection!$B$53:$B$69,0),MATCH(Summary!O$23,Projection!$BE$3:$BH$3))</f>
        <v>12285</v>
      </c>
      <c r="P29" s="76">
        <f>INDEX(Projection!$BE$116:$BH$132,MATCH(Summary!$I29,Projection!$B$53:$B$69,0),MATCH(Summary!P$23,Projection!$BE$3:$BH$3))</f>
        <v>0</v>
      </c>
      <c r="Q29" s="76">
        <f>INDEX(Projection!$BE$137:$BH$153,MATCH(Summary!$I29,Projection!$B$53:$B$69,0),MATCH(Summary!Q$23,Projection!$BE$3:$BH$3))</f>
        <v>0</v>
      </c>
      <c r="R29" s="76">
        <f>INDEX(Projection!$BE$53:$BH$69,MATCH(Summary!$I29,Projection!$B$53:$B$69,0),MATCH(Summary!R$23,Projection!$BE$3:$BH$3))</f>
        <v>-76980</v>
      </c>
      <c r="S29" s="76">
        <f>INDEX(Projection!$BE$95:$BH$111,MATCH(Summary!$I29,Projection!$B$53:$B$69,0),MATCH(Summary!S$23,Projection!$BE$3:$BH$3))</f>
        <v>12285</v>
      </c>
      <c r="T29" s="76">
        <f>INDEX(Projection!$BE$116:$BH$132,MATCH(Summary!$I29,Projection!$B$53:$B$69,0),MATCH(Summary!T$23,Projection!$BE$3:$BH$3))</f>
        <v>0</v>
      </c>
      <c r="U29" s="76">
        <f>INDEX(Projection!$BE$137:$BH$153,MATCH(Summary!$I29,Projection!$B$53:$B$69,0),MATCH(Summary!U$23,Projection!$BE$3:$BH$3))</f>
        <v>0</v>
      </c>
      <c r="V29" s="76">
        <f>INDEX(Projection!$BE$53:$BH$69,MATCH(Summary!$I29,Projection!$B$53:$B$69,0),MATCH(Summary!V$23,Projection!$BE$3:$BH$3))</f>
        <v>-76980</v>
      </c>
      <c r="W29" s="76">
        <f>INDEX(Projection!$BE$95:$BH$111,MATCH(Summary!$I29,Projection!$B$53:$B$69,0),MATCH(Summary!W$23,Projection!$BE$3:$BH$3))</f>
        <v>12285</v>
      </c>
      <c r="X29" s="76">
        <f>INDEX(Projection!$BE$116:$BH$132,MATCH(Summary!$I29,Projection!$B$53:$B$69,0),MATCH(Summary!X$23,Projection!$BE$3:$BH$3))</f>
        <v>0</v>
      </c>
      <c r="Y29" s="76">
        <f>INDEX(Projection!$BE$137:$BH$153,MATCH(Summary!$I29,Projection!$B$53:$B$69,0),MATCH(Summary!Y$23,Projection!$BE$3:$BH$3))</f>
        <v>0</v>
      </c>
    </row>
    <row r="30" spans="2:25" ht="21" customHeight="1" x14ac:dyDescent="0.35">
      <c r="I30" s="29" t="str">
        <f>Projection!B12</f>
        <v>YOC</v>
      </c>
      <c r="J30" s="76">
        <f>INDEX(Projection!$BE$53:$BH$69,MATCH(Summary!$I30,Projection!$B$53:$B$69,0),MATCH(Summary!J$23,Projection!$BE$3:$BH$3))</f>
        <v>-1082.9151459854015</v>
      </c>
      <c r="K30" s="76">
        <f>INDEX(Projection!$BE$95:$BH$111,MATCH(Summary!$I30,Projection!$B$53:$B$69,0),MATCH(Summary!K$23,Projection!$BE$3:$BH$3))</f>
        <v>5173.9279197080295</v>
      </c>
      <c r="L30" s="76">
        <f>INDEX(Projection!$BE$116:$BH$132,MATCH(Summary!$I30,Projection!$B$53:$B$69,0),MATCH(Summary!L$23,Projection!$BE$3:$BH$3))</f>
        <v>0</v>
      </c>
      <c r="M30" s="76">
        <f>INDEX(Projection!$BE$137:$BH$153,MATCH(Summary!$I30,Projection!$B$53:$B$69,0),MATCH(Summary!M$23,Projection!$BE$3:$BH$3))</f>
        <v>0</v>
      </c>
      <c r="N30" s="76">
        <f>INDEX(Projection!$BE$53:$BH$69,MATCH(Summary!$I30,Projection!$B$53:$B$69,0),MATCH(Summary!N$23,Projection!$BE$3:$BH$3))</f>
        <v>-7797.6733576642346</v>
      </c>
      <c r="O30" s="76">
        <f>INDEX(Projection!$BE$95:$BH$111,MATCH(Summary!$I30,Projection!$B$53:$B$69,0),MATCH(Summary!O$23,Projection!$BE$3:$BH$3))</f>
        <v>37255.550486617998</v>
      </c>
      <c r="P30" s="76">
        <f>INDEX(Projection!$BE$116:$BH$132,MATCH(Summary!$I30,Projection!$B$53:$B$69,0),MATCH(Summary!P$23,Projection!$BE$3:$BH$3))</f>
        <v>0</v>
      </c>
      <c r="Q30" s="76">
        <f>INDEX(Projection!$BE$137:$BH$153,MATCH(Summary!$I30,Projection!$B$53:$B$69,0),MATCH(Summary!Q$23,Projection!$BE$3:$BH$3))</f>
        <v>0</v>
      </c>
      <c r="R30" s="76">
        <f>INDEX(Projection!$BE$53:$BH$69,MATCH(Summary!$I30,Projection!$B$53:$B$69,0),MATCH(Summary!R$23,Projection!$BE$3:$BH$3))</f>
        <v>-15290.830291970802</v>
      </c>
      <c r="S30" s="76">
        <f>INDEX(Projection!$BE$95:$BH$111,MATCH(Summary!$I30,Projection!$B$53:$B$69,0),MATCH(Summary!S$23,Projection!$BE$3:$BH$3))</f>
        <v>73056.189172749378</v>
      </c>
      <c r="T30" s="76">
        <f>INDEX(Projection!$BE$116:$BH$132,MATCH(Summary!$I30,Projection!$B$53:$B$69,0),MATCH(Summary!T$23,Projection!$BE$3:$BH$3))</f>
        <v>0</v>
      </c>
      <c r="U30" s="76">
        <f>INDEX(Projection!$BE$137:$BH$153,MATCH(Summary!$I30,Projection!$B$53:$B$69,0),MATCH(Summary!U$23,Projection!$BE$3:$BH$3))</f>
        <v>0</v>
      </c>
      <c r="V30" s="76">
        <f>INDEX(Projection!$BE$53:$BH$69,MATCH(Summary!$I30,Projection!$B$53:$B$69,0),MATCH(Summary!V$23,Projection!$BE$3:$BH$3))</f>
        <v>-21711.336678832115</v>
      </c>
      <c r="W30" s="76">
        <f>INDEX(Projection!$BE$95:$BH$111,MATCH(Summary!$I30,Projection!$B$53:$B$69,0),MATCH(Summary!W$23,Projection!$BE$3:$BH$3))</f>
        <v>103731.94190997565</v>
      </c>
      <c r="X30" s="76">
        <f>INDEX(Projection!$BE$116:$BH$132,MATCH(Summary!$I30,Projection!$B$53:$B$69,0),MATCH(Summary!X$23,Projection!$BE$3:$BH$3))</f>
        <v>0</v>
      </c>
      <c r="Y30" s="76">
        <f>INDEX(Projection!$BE$137:$BH$153,MATCH(Summary!$I30,Projection!$B$53:$B$69,0),MATCH(Summary!Y$23,Projection!$BE$3:$BH$3))</f>
        <v>0</v>
      </c>
    </row>
    <row r="31" spans="2:25" ht="21" customHeight="1" x14ac:dyDescent="0.35">
      <c r="B31" s="88" t="str">
        <f t="shared" ref="B31:G31" si="2">B25</f>
        <v>Net Profit Before Tax</v>
      </c>
      <c r="C31" s="29">
        <f t="shared" si="2"/>
        <v>80000</v>
      </c>
      <c r="D31" s="29">
        <f t="shared" si="2"/>
        <v>64812.987924145418</v>
      </c>
      <c r="E31" s="29">
        <f t="shared" si="2"/>
        <v>21720.02304621134</v>
      </c>
      <c r="F31" s="29">
        <f t="shared" si="2"/>
        <v>21468.910150833894</v>
      </c>
      <c r="G31" s="29">
        <f t="shared" si="2"/>
        <v>24586.762815067545</v>
      </c>
      <c r="I31" s="29" t="str">
        <f>Projection!B13</f>
        <v>Extended hours</v>
      </c>
      <c r="J31" s="76">
        <f>INDEX(Projection!$BE$53:$BH$69,MATCH(Summary!$I31,Projection!$B$53:$B$69,0),MATCH(Summary!J$23,Projection!$BE$3:$BH$3))</f>
        <v>0</v>
      </c>
      <c r="K31" s="76">
        <f>INDEX(Projection!$BE$95:$BH$111,MATCH(Summary!$I31,Projection!$B$53:$B$69,0),MATCH(Summary!K$23,Projection!$BE$3:$BH$3))</f>
        <v>0</v>
      </c>
      <c r="L31" s="76">
        <f>INDEX(Projection!$BE$116:$BH$132,MATCH(Summary!$I31,Projection!$B$53:$B$69,0),MATCH(Summary!L$23,Projection!$BE$3:$BH$3))</f>
        <v>0</v>
      </c>
      <c r="M31" s="76">
        <f>INDEX(Projection!$BE$137:$BH$153,MATCH(Summary!$I31,Projection!$B$53:$B$69,0),MATCH(Summary!M$23,Projection!$BE$3:$BH$3))</f>
        <v>0</v>
      </c>
      <c r="N31" s="76">
        <f>INDEX(Projection!$BE$53:$BH$69,MATCH(Summary!$I31,Projection!$B$53:$B$69,0),MATCH(Summary!N$23,Projection!$BE$3:$BH$3))</f>
        <v>0</v>
      </c>
      <c r="O31" s="76">
        <f>INDEX(Projection!$BE$95:$BH$111,MATCH(Summary!$I31,Projection!$B$53:$B$69,0),MATCH(Summary!O$23,Projection!$BE$3:$BH$3))</f>
        <v>0</v>
      </c>
      <c r="P31" s="76">
        <f>INDEX(Projection!$BE$116:$BH$132,MATCH(Summary!$I31,Projection!$B$53:$B$69,0),MATCH(Summary!P$23,Projection!$BE$3:$BH$3))</f>
        <v>0</v>
      </c>
      <c r="Q31" s="76">
        <f>INDEX(Projection!$BE$137:$BH$153,MATCH(Summary!$I31,Projection!$B$53:$B$69,0),MATCH(Summary!Q$23,Projection!$BE$3:$BH$3))</f>
        <v>0</v>
      </c>
      <c r="R31" s="76">
        <f>INDEX(Projection!$BE$53:$BH$69,MATCH(Summary!$I31,Projection!$B$53:$B$69,0),MATCH(Summary!R$23,Projection!$BE$3:$BH$3))</f>
        <v>0</v>
      </c>
      <c r="S31" s="76">
        <f>INDEX(Projection!$BE$95:$BH$111,MATCH(Summary!$I31,Projection!$B$53:$B$69,0),MATCH(Summary!S$23,Projection!$BE$3:$BH$3))</f>
        <v>0</v>
      </c>
      <c r="T31" s="76">
        <f>INDEX(Projection!$BE$116:$BH$132,MATCH(Summary!$I31,Projection!$B$53:$B$69,0),MATCH(Summary!T$23,Projection!$BE$3:$BH$3))</f>
        <v>0</v>
      </c>
      <c r="U31" s="76">
        <f>INDEX(Projection!$BE$137:$BH$153,MATCH(Summary!$I31,Projection!$B$53:$B$69,0),MATCH(Summary!U$23,Projection!$BE$3:$BH$3))</f>
        <v>0</v>
      </c>
      <c r="V31" s="76">
        <f>INDEX(Projection!$BE$53:$BH$69,MATCH(Summary!$I31,Projection!$B$53:$B$69,0),MATCH(Summary!V$23,Projection!$BE$3:$BH$3))</f>
        <v>0</v>
      </c>
      <c r="W31" s="76">
        <f>INDEX(Projection!$BE$95:$BH$111,MATCH(Summary!$I31,Projection!$B$53:$B$69,0),MATCH(Summary!W$23,Projection!$BE$3:$BH$3))</f>
        <v>0</v>
      </c>
      <c r="X31" s="76">
        <f>INDEX(Projection!$BE$116:$BH$132,MATCH(Summary!$I31,Projection!$B$53:$B$69,0),MATCH(Summary!X$23,Projection!$BE$3:$BH$3))</f>
        <v>0</v>
      </c>
      <c r="Y31" s="76">
        <f>INDEX(Projection!$BE$137:$BH$153,MATCH(Summary!$I31,Projection!$B$53:$B$69,0),MATCH(Summary!Y$23,Projection!$BE$3:$BH$3))</f>
        <v>0</v>
      </c>
    </row>
    <row r="32" spans="2:25" ht="21" customHeight="1" x14ac:dyDescent="0.35">
      <c r="B32" s="88" t="s">
        <v>184</v>
      </c>
      <c r="D32" s="29">
        <f>IFERROR(-M46,0)</f>
        <v>20256.778870754315</v>
      </c>
      <c r="E32" s="29">
        <f>IFERROR(-Q46,0)</f>
        <v>62672.467032897395</v>
      </c>
      <c r="F32" s="29">
        <f>IFERROR(-U46,0)</f>
        <v>65240.052761303741</v>
      </c>
      <c r="G32" s="29">
        <f>IFERROR(-Y46,0)</f>
        <v>63648.660482562853</v>
      </c>
      <c r="I32" s="29" t="str">
        <f>Projection!B14</f>
        <v>Patient Centered Appointments</v>
      </c>
      <c r="J32" s="76">
        <f>INDEX(Projection!$BE$53:$BH$69,MATCH(Summary!$I32,Projection!$B$53:$B$69,0),MATCH(Summary!J$23,Projection!$BE$3:$BH$3))</f>
        <v>0</v>
      </c>
      <c r="K32" s="76">
        <f>INDEX(Projection!$BE$95:$BH$111,MATCH(Summary!$I32,Projection!$B$53:$B$69,0),MATCH(Summary!K$23,Projection!$BE$3:$BH$3))</f>
        <v>0</v>
      </c>
      <c r="L32" s="76">
        <f>INDEX(Projection!$BE$116:$BH$132,MATCH(Summary!$I32,Projection!$B$53:$B$69,0),MATCH(Summary!L$23,Projection!$BE$3:$BH$3))</f>
        <v>0</v>
      </c>
      <c r="M32" s="76">
        <f>INDEX(Projection!$BE$137:$BH$153,MATCH(Summary!$I32,Projection!$B$53:$B$69,0),MATCH(Summary!M$23,Projection!$BE$3:$BH$3))</f>
        <v>0</v>
      </c>
      <c r="N32" s="76">
        <f>INDEX(Projection!$BE$53:$BH$69,MATCH(Summary!$I32,Projection!$B$53:$B$69,0),MATCH(Summary!N$23,Projection!$BE$3:$BH$3))</f>
        <v>0</v>
      </c>
      <c r="O32" s="76">
        <f>INDEX(Projection!$BE$95:$BH$111,MATCH(Summary!$I32,Projection!$B$53:$B$69,0),MATCH(Summary!O$23,Projection!$BE$3:$BH$3))</f>
        <v>0</v>
      </c>
      <c r="P32" s="76">
        <f>INDEX(Projection!$BE$116:$BH$132,MATCH(Summary!$I32,Projection!$B$53:$B$69,0),MATCH(Summary!P$23,Projection!$BE$3:$BH$3))</f>
        <v>0</v>
      </c>
      <c r="Q32" s="76">
        <f>INDEX(Projection!$BE$137:$BH$153,MATCH(Summary!$I32,Projection!$B$53:$B$69,0),MATCH(Summary!Q$23,Projection!$BE$3:$BH$3))</f>
        <v>0</v>
      </c>
      <c r="R32" s="76">
        <f>INDEX(Projection!$BE$53:$BH$69,MATCH(Summary!$I32,Projection!$B$53:$B$69,0),MATCH(Summary!R$23,Projection!$BE$3:$BH$3))</f>
        <v>0</v>
      </c>
      <c r="S32" s="76">
        <f>INDEX(Projection!$BE$95:$BH$111,MATCH(Summary!$I32,Projection!$B$53:$B$69,0),MATCH(Summary!S$23,Projection!$BE$3:$BH$3))</f>
        <v>0</v>
      </c>
      <c r="T32" s="76">
        <f>INDEX(Projection!$BE$116:$BH$132,MATCH(Summary!$I32,Projection!$B$53:$B$69,0),MATCH(Summary!T$23,Projection!$BE$3:$BH$3))</f>
        <v>0</v>
      </c>
      <c r="U32" s="76">
        <f>INDEX(Projection!$BE$137:$BH$153,MATCH(Summary!$I32,Projection!$B$53:$B$69,0),MATCH(Summary!U$23,Projection!$BE$3:$BH$3))</f>
        <v>0</v>
      </c>
      <c r="V32" s="76">
        <f>INDEX(Projection!$BE$53:$BH$69,MATCH(Summary!$I32,Projection!$B$53:$B$69,0),MATCH(Summary!V$23,Projection!$BE$3:$BH$3))</f>
        <v>0</v>
      </c>
      <c r="W32" s="76">
        <f>INDEX(Projection!$BE$95:$BH$111,MATCH(Summary!$I32,Projection!$B$53:$B$69,0),MATCH(Summary!W$23,Projection!$BE$3:$BH$3))</f>
        <v>0</v>
      </c>
      <c r="X32" s="76">
        <f>INDEX(Projection!$BE$116:$BH$132,MATCH(Summary!$I32,Projection!$B$53:$B$69,0),MATCH(Summary!X$23,Projection!$BE$3:$BH$3))</f>
        <v>0</v>
      </c>
      <c r="Y32" s="76">
        <f>INDEX(Projection!$BE$137:$BH$153,MATCH(Summary!$I32,Projection!$B$53:$B$69,0),MATCH(Summary!Y$23,Projection!$BE$3:$BH$3))</f>
        <v>0</v>
      </c>
    </row>
    <row r="33" spans="2:25" ht="21" customHeight="1" x14ac:dyDescent="0.35">
      <c r="B33" s="88" t="s">
        <v>185</v>
      </c>
      <c r="D33" s="29">
        <f>D31+D32</f>
        <v>85069.76679489974</v>
      </c>
      <c r="E33" s="29">
        <f>E31+E32</f>
        <v>84392.490079108742</v>
      </c>
      <c r="F33" s="29">
        <f>F31+F32</f>
        <v>86708.962912137635</v>
      </c>
      <c r="G33" s="29">
        <f>G31+G32</f>
        <v>88235.42329763039</v>
      </c>
      <c r="I33" s="29" t="str">
        <f>Projection!B15</f>
        <v>Clinical and administrative pre work</v>
      </c>
      <c r="J33" s="76">
        <f>INDEX(Projection!$BE$53:$BH$69,MATCH(Summary!$I33,Projection!$B$53:$B$69,0),MATCH(Summary!J$23,Projection!$BE$3:$BH$3))</f>
        <v>0</v>
      </c>
      <c r="K33" s="76">
        <f>INDEX(Projection!$BE$95:$BH$111,MATCH(Summary!$I33,Projection!$B$53:$B$69,0),MATCH(Summary!K$23,Projection!$BE$3:$BH$3))</f>
        <v>0</v>
      </c>
      <c r="L33" s="76">
        <f>INDEX(Projection!$BE$116:$BH$132,MATCH(Summary!$I33,Projection!$B$53:$B$69,0),MATCH(Summary!L$23,Projection!$BE$3:$BH$3))</f>
        <v>0</v>
      </c>
      <c r="M33" s="76">
        <f>INDEX(Projection!$BE$137:$BH$153,MATCH(Summary!$I33,Projection!$B$53:$B$69,0),MATCH(Summary!M$23,Projection!$BE$3:$BH$3))</f>
        <v>0</v>
      </c>
      <c r="N33" s="76">
        <f>INDEX(Projection!$BE$53:$BH$69,MATCH(Summary!$I33,Projection!$B$53:$B$69,0),MATCH(Summary!N$23,Projection!$BE$3:$BH$3))</f>
        <v>0</v>
      </c>
      <c r="O33" s="76">
        <f>INDEX(Projection!$BE$95:$BH$111,MATCH(Summary!$I33,Projection!$B$53:$B$69,0),MATCH(Summary!O$23,Projection!$BE$3:$BH$3))</f>
        <v>0</v>
      </c>
      <c r="P33" s="76">
        <f>INDEX(Projection!$BE$116:$BH$132,MATCH(Summary!$I33,Projection!$B$53:$B$69,0),MATCH(Summary!P$23,Projection!$BE$3:$BH$3))</f>
        <v>0</v>
      </c>
      <c r="Q33" s="76">
        <f>INDEX(Projection!$BE$137:$BH$153,MATCH(Summary!$I33,Projection!$B$53:$B$69,0),MATCH(Summary!Q$23,Projection!$BE$3:$BH$3))</f>
        <v>0</v>
      </c>
      <c r="R33" s="76">
        <f>INDEX(Projection!$BE$53:$BH$69,MATCH(Summary!$I33,Projection!$B$53:$B$69,0),MATCH(Summary!R$23,Projection!$BE$3:$BH$3))</f>
        <v>0</v>
      </c>
      <c r="S33" s="76">
        <f>INDEX(Projection!$BE$95:$BH$111,MATCH(Summary!$I33,Projection!$B$53:$B$69,0),MATCH(Summary!S$23,Projection!$BE$3:$BH$3))</f>
        <v>0</v>
      </c>
      <c r="T33" s="76">
        <f>INDEX(Projection!$BE$116:$BH$132,MATCH(Summary!$I33,Projection!$B$53:$B$69,0),MATCH(Summary!T$23,Projection!$BE$3:$BH$3))</f>
        <v>0</v>
      </c>
      <c r="U33" s="76">
        <f>INDEX(Projection!$BE$137:$BH$153,MATCH(Summary!$I33,Projection!$B$53:$B$69,0),MATCH(Summary!U$23,Projection!$BE$3:$BH$3))</f>
        <v>0</v>
      </c>
      <c r="V33" s="76">
        <f>INDEX(Projection!$BE$53:$BH$69,MATCH(Summary!$I33,Projection!$B$53:$B$69,0),MATCH(Summary!V$23,Projection!$BE$3:$BH$3))</f>
        <v>0</v>
      </c>
      <c r="W33" s="76">
        <f>INDEX(Projection!$BE$95:$BH$111,MATCH(Summary!$I33,Projection!$B$53:$B$69,0),MATCH(Summary!W$23,Projection!$BE$3:$BH$3))</f>
        <v>0</v>
      </c>
      <c r="X33" s="76">
        <f>INDEX(Projection!$BE$116:$BH$132,MATCH(Summary!$I33,Projection!$B$53:$B$69,0),MATCH(Summary!X$23,Projection!$BE$3:$BH$3))</f>
        <v>0</v>
      </c>
      <c r="Y33" s="76">
        <f>INDEX(Projection!$BE$137:$BH$153,MATCH(Summary!$I33,Projection!$B$53:$B$69,0),MATCH(Summary!Y$23,Projection!$BE$3:$BH$3))</f>
        <v>0</v>
      </c>
    </row>
    <row r="34" spans="2:25" ht="21" customHeight="1" x14ac:dyDescent="0.35">
      <c r="I34" s="29" t="str">
        <f>Projection!B16</f>
        <v>Multi-discliplinary Team Meetings</v>
      </c>
      <c r="J34" s="76">
        <f>INDEX(Projection!$BE$53:$BH$69,MATCH(Summary!$I34,Projection!$B$53:$B$69,0),MATCH(Summary!J$23,Projection!$BE$3:$BH$3))</f>
        <v>1481.6373626373625</v>
      </c>
      <c r="K34" s="76">
        <f>INDEX(Projection!$BE$95:$BH$111,MATCH(Summary!$I34,Projection!$B$53:$B$69,0),MATCH(Summary!K$23,Projection!$BE$3:$BH$3))</f>
        <v>1293.8241758241759</v>
      </c>
      <c r="L34" s="76">
        <f>INDEX(Projection!$BE$116:$BH$132,MATCH(Summary!$I34,Projection!$B$53:$B$69,0),MATCH(Summary!L$23,Projection!$BE$3:$BH$3))</f>
        <v>0</v>
      </c>
      <c r="M34" s="76">
        <f>INDEX(Projection!$BE$137:$BH$153,MATCH(Summary!$I34,Projection!$B$53:$B$69,0),MATCH(Summary!M$23,Projection!$BE$3:$BH$3))</f>
        <v>0</v>
      </c>
      <c r="N34" s="76">
        <f>INDEX(Projection!$BE$53:$BH$69,MATCH(Summary!$I34,Projection!$B$53:$B$69,0),MATCH(Summary!N$23,Projection!$BE$3:$BH$3))</f>
        <v>5111.9999999999991</v>
      </c>
      <c r="O34" s="76">
        <f>INDEX(Projection!$BE$95:$BH$111,MATCH(Summary!$I34,Projection!$B$53:$B$69,0),MATCH(Summary!O$23,Projection!$BE$3:$BH$3))</f>
        <v>4464</v>
      </c>
      <c r="P34" s="76">
        <f>INDEX(Projection!$BE$116:$BH$132,MATCH(Summary!$I34,Projection!$B$53:$B$69,0),MATCH(Summary!P$23,Projection!$BE$3:$BH$3))</f>
        <v>0</v>
      </c>
      <c r="Q34" s="76">
        <f>INDEX(Projection!$BE$137:$BH$153,MATCH(Summary!$I34,Projection!$B$53:$B$69,0),MATCH(Summary!Q$23,Projection!$BE$3:$BH$3))</f>
        <v>0</v>
      </c>
      <c r="R34" s="76">
        <f>INDEX(Projection!$BE$53:$BH$69,MATCH(Summary!$I34,Projection!$B$53:$B$69,0),MATCH(Summary!R$23,Projection!$BE$3:$BH$3))</f>
        <v>5111.9999999999991</v>
      </c>
      <c r="S34" s="76">
        <f>INDEX(Projection!$BE$95:$BH$111,MATCH(Summary!$I34,Projection!$B$53:$B$69,0),MATCH(Summary!S$23,Projection!$BE$3:$BH$3))</f>
        <v>4464</v>
      </c>
      <c r="T34" s="76">
        <f>INDEX(Projection!$BE$116:$BH$132,MATCH(Summary!$I34,Projection!$B$53:$B$69,0),MATCH(Summary!T$23,Projection!$BE$3:$BH$3))</f>
        <v>0</v>
      </c>
      <c r="U34" s="76">
        <f>INDEX(Projection!$BE$137:$BH$153,MATCH(Summary!$I34,Projection!$B$53:$B$69,0),MATCH(Summary!U$23,Projection!$BE$3:$BH$3))</f>
        <v>0</v>
      </c>
      <c r="V34" s="76">
        <f>INDEX(Projection!$BE$53:$BH$69,MATCH(Summary!$I34,Projection!$B$53:$B$69,0),MATCH(Summary!V$23,Projection!$BE$3:$BH$3))</f>
        <v>5111.9999999999991</v>
      </c>
      <c r="W34" s="76">
        <f>INDEX(Projection!$BE$95:$BH$111,MATCH(Summary!$I34,Projection!$B$53:$B$69,0),MATCH(Summary!W$23,Projection!$BE$3:$BH$3))</f>
        <v>4464</v>
      </c>
      <c r="X34" s="76">
        <f>INDEX(Projection!$BE$116:$BH$132,MATCH(Summary!$I34,Projection!$B$53:$B$69,0),MATCH(Summary!X$23,Projection!$BE$3:$BH$3))</f>
        <v>0</v>
      </c>
      <c r="Y34" s="76">
        <f>INDEX(Projection!$BE$137:$BH$153,MATCH(Summary!$I34,Projection!$B$53:$B$69,0),MATCH(Summary!Y$23,Projection!$BE$3:$BH$3))</f>
        <v>0</v>
      </c>
    </row>
    <row r="35" spans="2:25" ht="21" customHeight="1" x14ac:dyDescent="0.35">
      <c r="B35" s="134" t="s">
        <v>156</v>
      </c>
      <c r="C35" s="133"/>
      <c r="D35" s="135">
        <f>D33-$C$31</f>
        <v>5069.7667948997405</v>
      </c>
      <c r="E35" s="135">
        <f>E33-$C$31</f>
        <v>4392.4900791087421</v>
      </c>
      <c r="F35" s="135">
        <f>F33-$C$31</f>
        <v>6708.9629121376347</v>
      </c>
      <c r="G35" s="135">
        <f>G33-$C$31</f>
        <v>8235.4232976303902</v>
      </c>
      <c r="I35" s="29" t="str">
        <f>Projection!B17</f>
        <v>Huddles</v>
      </c>
      <c r="J35" s="76">
        <f>INDEX(Projection!$BE$53:$BH$69,MATCH(Summary!$I35,Projection!$B$53:$B$69,0),MATCH(Summary!J$23,Projection!$BE$3:$BH$3))</f>
        <v>22152</v>
      </c>
      <c r="K35" s="76">
        <f>INDEX(Projection!$BE$95:$BH$111,MATCH(Summary!$I35,Projection!$B$53:$B$69,0),MATCH(Summary!K$23,Projection!$BE$3:$BH$3))</f>
        <v>19344.000000000004</v>
      </c>
      <c r="L35" s="76">
        <f>INDEX(Projection!$BE$116:$BH$132,MATCH(Summary!$I35,Projection!$B$53:$B$69,0),MATCH(Summary!L$23,Projection!$BE$3:$BH$3))</f>
        <v>9360.0000000000018</v>
      </c>
      <c r="M35" s="76">
        <f>INDEX(Projection!$BE$137:$BH$153,MATCH(Summary!$I35,Projection!$B$53:$B$69,0),MATCH(Summary!M$23,Projection!$BE$3:$BH$3))</f>
        <v>3900</v>
      </c>
      <c r="N35" s="76">
        <f>INDEX(Projection!$BE$53:$BH$69,MATCH(Summary!$I35,Projection!$B$53:$B$69,0),MATCH(Summary!N$23,Projection!$BE$3:$BH$3))</f>
        <v>22152</v>
      </c>
      <c r="O35" s="76">
        <f>INDEX(Projection!$BE$95:$BH$111,MATCH(Summary!$I35,Projection!$B$53:$B$69,0),MATCH(Summary!O$23,Projection!$BE$3:$BH$3))</f>
        <v>19344.000000000004</v>
      </c>
      <c r="P35" s="76">
        <f>INDEX(Projection!$BE$116:$BH$132,MATCH(Summary!$I35,Projection!$B$53:$B$69,0),MATCH(Summary!P$23,Projection!$BE$3:$BH$3))</f>
        <v>9360.0000000000018</v>
      </c>
      <c r="Q35" s="76">
        <f>INDEX(Projection!$BE$137:$BH$153,MATCH(Summary!$I35,Projection!$B$53:$B$69,0),MATCH(Summary!Q$23,Projection!$BE$3:$BH$3))</f>
        <v>3900</v>
      </c>
      <c r="R35" s="76">
        <f>INDEX(Projection!$BE$53:$BH$69,MATCH(Summary!$I35,Projection!$B$53:$B$69,0),MATCH(Summary!R$23,Projection!$BE$3:$BH$3))</f>
        <v>22152</v>
      </c>
      <c r="S35" s="76">
        <f>INDEX(Projection!$BE$95:$BH$111,MATCH(Summary!$I35,Projection!$B$53:$B$69,0),MATCH(Summary!S$23,Projection!$BE$3:$BH$3))</f>
        <v>19344.000000000004</v>
      </c>
      <c r="T35" s="76">
        <f>INDEX(Projection!$BE$116:$BH$132,MATCH(Summary!$I35,Projection!$B$53:$B$69,0),MATCH(Summary!T$23,Projection!$BE$3:$BH$3))</f>
        <v>9360.0000000000018</v>
      </c>
      <c r="U35" s="76">
        <f>INDEX(Projection!$BE$137:$BH$153,MATCH(Summary!$I35,Projection!$B$53:$B$69,0),MATCH(Summary!U$23,Projection!$BE$3:$BH$3))</f>
        <v>3900</v>
      </c>
      <c r="V35" s="76">
        <f>INDEX(Projection!$BE$53:$BH$69,MATCH(Summary!$I35,Projection!$B$53:$B$69,0),MATCH(Summary!V$23,Projection!$BE$3:$BH$3))</f>
        <v>22152</v>
      </c>
      <c r="W35" s="76">
        <f>INDEX(Projection!$BE$95:$BH$111,MATCH(Summary!$I35,Projection!$B$53:$B$69,0),MATCH(Summary!W$23,Projection!$BE$3:$BH$3))</f>
        <v>19344.000000000004</v>
      </c>
      <c r="X35" s="76">
        <f>INDEX(Projection!$BE$116:$BH$132,MATCH(Summary!$I35,Projection!$B$53:$B$69,0),MATCH(Summary!X$23,Projection!$BE$3:$BH$3))</f>
        <v>9360.0000000000018</v>
      </c>
      <c r="Y35" s="76">
        <f>INDEX(Projection!$BE$137:$BH$153,MATCH(Summary!$I35,Projection!$B$53:$B$69,0),MATCH(Summary!Y$23,Projection!$BE$3:$BH$3))</f>
        <v>3900</v>
      </c>
    </row>
    <row r="36" spans="2:25" ht="21" customHeight="1" x14ac:dyDescent="0.35">
      <c r="I36" s="29" t="str">
        <f>Projection!B18</f>
        <v>Health Care Assistants</v>
      </c>
      <c r="J36" s="76">
        <f>INDEX(Projection!$BE$53:$BH$69,MATCH(Summary!$I36,Projection!$B$53:$B$69,0),MATCH(Summary!J$23,Projection!$BE$3:$BH$3))</f>
        <v>0</v>
      </c>
      <c r="K36" s="76">
        <f>INDEX(Projection!$BE$95:$BH$111,MATCH(Summary!$I36,Projection!$B$53:$B$69,0),MATCH(Summary!K$23,Projection!$BE$3:$BH$3))</f>
        <v>-57662.950819672129</v>
      </c>
      <c r="L36" s="76">
        <f>INDEX(Projection!$BE$116:$BH$132,MATCH(Summary!$I36,Projection!$B$53:$B$69,0),MATCH(Summary!L$23,Projection!$BE$3:$BH$3))</f>
        <v>0</v>
      </c>
      <c r="M36" s="76">
        <f>INDEX(Projection!$BE$137:$BH$153,MATCH(Summary!$I36,Projection!$B$53:$B$69,0),MATCH(Summary!M$23,Projection!$BE$3:$BH$3))</f>
        <v>0</v>
      </c>
      <c r="N36" s="76">
        <f>INDEX(Projection!$BE$53:$BH$69,MATCH(Summary!$I36,Projection!$B$53:$B$69,0),MATCH(Summary!N$23,Projection!$BE$3:$BH$3))</f>
        <v>0</v>
      </c>
      <c r="O36" s="76">
        <f>INDEX(Projection!$BE$95:$BH$111,MATCH(Summary!$I36,Projection!$B$53:$B$69,0),MATCH(Summary!O$23,Projection!$BE$3:$BH$3))</f>
        <v>-92160</v>
      </c>
      <c r="P36" s="76">
        <f>INDEX(Projection!$BE$116:$BH$132,MATCH(Summary!$I36,Projection!$B$53:$B$69,0),MATCH(Summary!P$23,Projection!$BE$3:$BH$3))</f>
        <v>0</v>
      </c>
      <c r="Q36" s="76">
        <f>INDEX(Projection!$BE$137:$BH$153,MATCH(Summary!$I36,Projection!$B$53:$B$69,0),MATCH(Summary!Q$23,Projection!$BE$3:$BH$3))</f>
        <v>0</v>
      </c>
      <c r="R36" s="76">
        <f>INDEX(Projection!$BE$53:$BH$69,MATCH(Summary!$I36,Projection!$B$53:$B$69,0),MATCH(Summary!R$23,Projection!$BE$3:$BH$3))</f>
        <v>0</v>
      </c>
      <c r="S36" s="76">
        <f>INDEX(Projection!$BE$95:$BH$111,MATCH(Summary!$I36,Projection!$B$53:$B$69,0),MATCH(Summary!S$23,Projection!$BE$3:$BH$3))</f>
        <v>-92160</v>
      </c>
      <c r="T36" s="76">
        <f>INDEX(Projection!$BE$116:$BH$132,MATCH(Summary!$I36,Projection!$B$53:$B$69,0),MATCH(Summary!T$23,Projection!$BE$3:$BH$3))</f>
        <v>0</v>
      </c>
      <c r="U36" s="76">
        <f>INDEX(Projection!$BE$137:$BH$153,MATCH(Summary!$I36,Projection!$B$53:$B$69,0),MATCH(Summary!U$23,Projection!$BE$3:$BH$3))</f>
        <v>0</v>
      </c>
      <c r="V36" s="76">
        <f>INDEX(Projection!$BE$53:$BH$69,MATCH(Summary!$I36,Projection!$B$53:$B$69,0),MATCH(Summary!V$23,Projection!$BE$3:$BH$3))</f>
        <v>0</v>
      </c>
      <c r="W36" s="76">
        <f>INDEX(Projection!$BE$95:$BH$111,MATCH(Summary!$I36,Projection!$B$53:$B$69,0),MATCH(Summary!W$23,Projection!$BE$3:$BH$3))</f>
        <v>-92160</v>
      </c>
      <c r="X36" s="76">
        <f>INDEX(Projection!$BE$116:$BH$132,MATCH(Summary!$I36,Projection!$B$53:$B$69,0),MATCH(Summary!X$23,Projection!$BE$3:$BH$3))</f>
        <v>0</v>
      </c>
      <c r="Y36" s="76">
        <f>INDEX(Projection!$BE$137:$BH$153,MATCH(Summary!$I36,Projection!$B$53:$B$69,0),MATCH(Summary!Y$23,Projection!$BE$3:$BH$3))</f>
        <v>0</v>
      </c>
    </row>
    <row r="37" spans="2:25" ht="21" customHeight="1" x14ac:dyDescent="0.35">
      <c r="I37" s="29" t="str">
        <f>Projection!B19</f>
        <v>Patient portals</v>
      </c>
      <c r="J37" s="76">
        <f>INDEX(Projection!$BE$53:$BH$69,MATCH(Summary!$I37,Projection!$B$53:$B$69,0),MATCH(Summary!J$23,Projection!$BE$3:$BH$3))</f>
        <v>4657.9379562043805</v>
      </c>
      <c r="K37" s="76">
        <f>INDEX(Projection!$BE$95:$BH$111,MATCH(Summary!$I37,Projection!$B$53:$B$69,0),MATCH(Summary!K$23,Projection!$BE$3:$BH$3))</f>
        <v>-2727.0109489051106</v>
      </c>
      <c r="L37" s="76">
        <f>INDEX(Projection!$BE$116:$BH$132,MATCH(Summary!$I37,Projection!$B$53:$B$69,0),MATCH(Summary!L$23,Projection!$BE$3:$BH$3))</f>
        <v>0</v>
      </c>
      <c r="M37" s="76">
        <f>INDEX(Projection!$BE$137:$BH$153,MATCH(Summary!$I37,Projection!$B$53:$B$69,0),MATCH(Summary!M$23,Projection!$BE$3:$BH$3))</f>
        <v>-28218.635036496344</v>
      </c>
      <c r="N37" s="76">
        <f>INDEX(Projection!$BE$53:$BH$69,MATCH(Summary!$I37,Projection!$B$53:$B$69,0),MATCH(Summary!N$23,Projection!$BE$3:$BH$3))</f>
        <v>13241.852189781028</v>
      </c>
      <c r="O37" s="76">
        <f>INDEX(Projection!$BE$95:$BH$111,MATCH(Summary!$I37,Projection!$B$53:$B$69,0),MATCH(Summary!O$23,Projection!$BE$3:$BH$3))</f>
        <v>-7752.5025547445266</v>
      </c>
      <c r="P37" s="76">
        <f>INDEX(Projection!$BE$116:$BH$132,MATCH(Summary!$I37,Projection!$B$53:$B$69,0),MATCH(Summary!P$23,Projection!$BE$3:$BH$3))</f>
        <v>0</v>
      </c>
      <c r="Q37" s="76">
        <f>INDEX(Projection!$BE$137:$BH$153,MATCH(Summary!$I37,Projection!$B$53:$B$69,0),MATCH(Summary!Q$23,Projection!$BE$3:$BH$3))</f>
        <v>-80221.54817518247</v>
      </c>
      <c r="R37" s="76">
        <f>INDEX(Projection!$BE$53:$BH$69,MATCH(Summary!$I37,Projection!$B$53:$B$69,0),MATCH(Summary!R$23,Projection!$BE$3:$BH$3))</f>
        <v>21814.023722627742</v>
      </c>
      <c r="S37" s="76">
        <f>INDEX(Projection!$BE$95:$BH$111,MATCH(Summary!$I37,Projection!$B$53:$B$69,0),MATCH(Summary!S$23,Projection!$BE$3:$BH$3))</f>
        <v>-12771.119343065697</v>
      </c>
      <c r="T37" s="76">
        <f>INDEX(Projection!$BE$116:$BH$132,MATCH(Summary!$I37,Projection!$B$53:$B$69,0),MATCH(Summary!T$23,Projection!$BE$3:$BH$3))</f>
        <v>0</v>
      </c>
      <c r="U37" s="76">
        <f>INDEX(Projection!$BE$137:$BH$153,MATCH(Summary!$I37,Projection!$B$53:$B$69,0),MATCH(Summary!U$23,Projection!$BE$3:$BH$3))</f>
        <v>-132153.32189781021</v>
      </c>
      <c r="V37" s="76">
        <f>INDEX(Projection!$BE$53:$BH$69,MATCH(Summary!$I37,Projection!$B$53:$B$69,0),MATCH(Summary!V$23,Projection!$BE$3:$BH$3))</f>
        <v>25740.000000000004</v>
      </c>
      <c r="W37" s="76">
        <f>INDEX(Projection!$BE$95:$BH$111,MATCH(Summary!$I37,Projection!$B$53:$B$69,0),MATCH(Summary!W$23,Projection!$BE$3:$BH$3))</f>
        <v>-15069.600000000008</v>
      </c>
      <c r="X37" s="76">
        <f>INDEX(Projection!$BE$116:$BH$132,MATCH(Summary!$I37,Projection!$B$53:$B$69,0),MATCH(Summary!X$23,Projection!$BE$3:$BH$3))</f>
        <v>0</v>
      </c>
      <c r="Y37" s="76">
        <f>INDEX(Projection!$BE$137:$BH$153,MATCH(Summary!$I37,Projection!$B$53:$B$69,0),MATCH(Summary!Y$23,Projection!$BE$3:$BH$3))</f>
        <v>-155937.59999999998</v>
      </c>
    </row>
    <row r="38" spans="2:25" ht="21" customHeight="1" x14ac:dyDescent="0.35">
      <c r="I38" s="29" t="str">
        <f>Projection!B20</f>
        <v>Community Engagement</v>
      </c>
      <c r="J38" s="76">
        <f>INDEX(Projection!$BE$53:$BH$69,MATCH(Summary!$I38,Projection!$B$53:$B$69,0),MATCH(Summary!J$23,Projection!$BE$3:$BH$3))</f>
        <v>0</v>
      </c>
      <c r="K38" s="76">
        <f>INDEX(Projection!$BE$95:$BH$111,MATCH(Summary!$I38,Projection!$B$53:$B$69,0),MATCH(Summary!K$23,Projection!$BE$3:$BH$3))</f>
        <v>0</v>
      </c>
      <c r="L38" s="76">
        <f>INDEX(Projection!$BE$116:$BH$132,MATCH(Summary!$I38,Projection!$B$53:$B$69,0),MATCH(Summary!L$23,Projection!$BE$3:$BH$3))</f>
        <v>0</v>
      </c>
      <c r="M38" s="76">
        <f>INDEX(Projection!$BE$137:$BH$153,MATCH(Summary!$I38,Projection!$B$53:$B$69,0),MATCH(Summary!M$23,Projection!$BE$3:$BH$3))</f>
        <v>0</v>
      </c>
      <c r="N38" s="76">
        <f>INDEX(Projection!$BE$53:$BH$69,MATCH(Summary!$I38,Projection!$B$53:$B$69,0),MATCH(Summary!N$23,Projection!$BE$3:$BH$3))</f>
        <v>0</v>
      </c>
      <c r="O38" s="76">
        <f>INDEX(Projection!$BE$95:$BH$111,MATCH(Summary!$I38,Projection!$B$53:$B$69,0),MATCH(Summary!O$23,Projection!$BE$3:$BH$3))</f>
        <v>0</v>
      </c>
      <c r="P38" s="76">
        <f>INDEX(Projection!$BE$116:$BH$132,MATCH(Summary!$I38,Projection!$B$53:$B$69,0),MATCH(Summary!P$23,Projection!$BE$3:$BH$3))</f>
        <v>0</v>
      </c>
      <c r="Q38" s="76">
        <f>INDEX(Projection!$BE$137:$BH$153,MATCH(Summary!$I38,Projection!$B$53:$B$69,0),MATCH(Summary!Q$23,Projection!$BE$3:$BH$3))</f>
        <v>0</v>
      </c>
      <c r="R38" s="76">
        <f>INDEX(Projection!$BE$53:$BH$69,MATCH(Summary!$I38,Projection!$B$53:$B$69,0),MATCH(Summary!R$23,Projection!$BE$3:$BH$3))</f>
        <v>0</v>
      </c>
      <c r="S38" s="76">
        <f>INDEX(Projection!$BE$95:$BH$111,MATCH(Summary!$I38,Projection!$B$53:$B$69,0),MATCH(Summary!S$23,Projection!$BE$3:$BH$3))</f>
        <v>0</v>
      </c>
      <c r="T38" s="76">
        <f>INDEX(Projection!$BE$116:$BH$132,MATCH(Summary!$I38,Projection!$B$53:$B$69,0),MATCH(Summary!T$23,Projection!$BE$3:$BH$3))</f>
        <v>0</v>
      </c>
      <c r="U38" s="76">
        <f>INDEX(Projection!$BE$137:$BH$153,MATCH(Summary!$I38,Projection!$B$53:$B$69,0),MATCH(Summary!U$23,Projection!$BE$3:$BH$3))</f>
        <v>0</v>
      </c>
      <c r="V38" s="76">
        <f>INDEX(Projection!$BE$53:$BH$69,MATCH(Summary!$I38,Projection!$B$53:$B$69,0),MATCH(Summary!V$23,Projection!$BE$3:$BH$3))</f>
        <v>0</v>
      </c>
      <c r="W38" s="76">
        <f>INDEX(Projection!$BE$95:$BH$111,MATCH(Summary!$I38,Projection!$B$53:$B$69,0),MATCH(Summary!W$23,Projection!$BE$3:$BH$3))</f>
        <v>0</v>
      </c>
      <c r="X38" s="76">
        <f>INDEX(Projection!$BE$116:$BH$132,MATCH(Summary!$I38,Projection!$B$53:$B$69,0),MATCH(Summary!X$23,Projection!$BE$3:$BH$3))</f>
        <v>0</v>
      </c>
      <c r="Y38" s="76">
        <f>INDEX(Projection!$BE$137:$BH$153,MATCH(Summary!$I38,Projection!$B$53:$B$69,0),MATCH(Summary!Y$23,Projection!$BE$3:$BH$3))</f>
        <v>0</v>
      </c>
    </row>
    <row r="39" spans="2:25" ht="21" customHeight="1" x14ac:dyDescent="0.35">
      <c r="I39" s="29" t="str">
        <f>Projection!B21</f>
        <v>Integration</v>
      </c>
      <c r="J39" s="76">
        <f>INDEX(Projection!$BE$53:$BH$69,MATCH(Summary!$I39,Projection!$B$53:$B$69,0),MATCH(Summary!J$23,Projection!$BE$3:$BH$3))</f>
        <v>0</v>
      </c>
      <c r="K39" s="76">
        <f>INDEX(Projection!$BE$95:$BH$111,MATCH(Summary!$I39,Projection!$B$53:$B$69,0),MATCH(Summary!K$23,Projection!$BE$3:$BH$3))</f>
        <v>0</v>
      </c>
      <c r="L39" s="76">
        <f>INDEX(Projection!$BE$116:$BH$132,MATCH(Summary!$I39,Projection!$B$53:$B$69,0),MATCH(Summary!L$23,Projection!$BE$3:$BH$3))</f>
        <v>0</v>
      </c>
      <c r="M39" s="76">
        <f>INDEX(Projection!$BE$137:$BH$153,MATCH(Summary!$I39,Projection!$B$53:$B$69,0),MATCH(Summary!M$23,Projection!$BE$3:$BH$3))</f>
        <v>0</v>
      </c>
      <c r="N39" s="76">
        <f>INDEX(Projection!$BE$53:$BH$69,MATCH(Summary!$I39,Projection!$B$53:$B$69,0),MATCH(Summary!N$23,Projection!$BE$3:$BH$3))</f>
        <v>0</v>
      </c>
      <c r="O39" s="76">
        <f>INDEX(Projection!$BE$95:$BH$111,MATCH(Summary!$I39,Projection!$B$53:$B$69,0),MATCH(Summary!O$23,Projection!$BE$3:$BH$3))</f>
        <v>0</v>
      </c>
      <c r="P39" s="76">
        <f>INDEX(Projection!$BE$116:$BH$132,MATCH(Summary!$I39,Projection!$B$53:$B$69,0),MATCH(Summary!P$23,Projection!$BE$3:$BH$3))</f>
        <v>0</v>
      </c>
      <c r="Q39" s="76">
        <f>INDEX(Projection!$BE$137:$BH$153,MATCH(Summary!$I39,Projection!$B$53:$B$69,0),MATCH(Summary!Q$23,Projection!$BE$3:$BH$3))</f>
        <v>0</v>
      </c>
      <c r="R39" s="76">
        <f>INDEX(Projection!$BE$53:$BH$69,MATCH(Summary!$I39,Projection!$B$53:$B$69,0),MATCH(Summary!R$23,Projection!$BE$3:$BH$3))</f>
        <v>0</v>
      </c>
      <c r="S39" s="76">
        <f>INDEX(Projection!$BE$95:$BH$111,MATCH(Summary!$I39,Projection!$B$53:$B$69,0),MATCH(Summary!S$23,Projection!$BE$3:$BH$3))</f>
        <v>0</v>
      </c>
      <c r="T39" s="76">
        <f>INDEX(Projection!$BE$116:$BH$132,MATCH(Summary!$I39,Projection!$B$53:$B$69,0),MATCH(Summary!T$23,Projection!$BE$3:$BH$3))</f>
        <v>0</v>
      </c>
      <c r="U39" s="76">
        <f>INDEX(Projection!$BE$137:$BH$153,MATCH(Summary!$I39,Projection!$B$53:$B$69,0),MATCH(Summary!U$23,Projection!$BE$3:$BH$3))</f>
        <v>0</v>
      </c>
      <c r="V39" s="76">
        <f>INDEX(Projection!$BE$53:$BH$69,MATCH(Summary!$I39,Projection!$B$53:$B$69,0),MATCH(Summary!V$23,Projection!$BE$3:$BH$3))</f>
        <v>0</v>
      </c>
      <c r="W39" s="76">
        <f>INDEX(Projection!$BE$95:$BH$111,MATCH(Summary!$I39,Projection!$B$53:$B$69,0),MATCH(Summary!W$23,Projection!$BE$3:$BH$3))</f>
        <v>0</v>
      </c>
      <c r="X39" s="76">
        <f>INDEX(Projection!$BE$116:$BH$132,MATCH(Summary!$I39,Projection!$B$53:$B$69,0),MATCH(Summary!X$23,Projection!$BE$3:$BH$3))</f>
        <v>0</v>
      </c>
      <c r="Y39" s="76">
        <f>INDEX(Projection!$BE$137:$BH$153,MATCH(Summary!$I39,Projection!$B$53:$B$69,0),MATCH(Summary!Y$23,Projection!$BE$3:$BH$3))</f>
        <v>0</v>
      </c>
    </row>
    <row r="40" spans="2:25" ht="21" customHeight="1" x14ac:dyDescent="0.35">
      <c r="I40" s="29" t="str">
        <f>Projection!B22</f>
        <v>Quality &amp; Safety</v>
      </c>
      <c r="J40" s="76">
        <f>INDEX(Projection!$BE$53:$BH$69,MATCH(Summary!$I40,Projection!$B$53:$B$69,0),MATCH(Summary!J$23,Projection!$BE$3:$BH$3))</f>
        <v>0</v>
      </c>
      <c r="K40" s="76">
        <f>INDEX(Projection!$BE$95:$BH$111,MATCH(Summary!$I40,Projection!$B$53:$B$69,0),MATCH(Summary!K$23,Projection!$BE$3:$BH$3))</f>
        <v>0</v>
      </c>
      <c r="L40" s="76">
        <f>INDEX(Projection!$BE$116:$BH$132,MATCH(Summary!$I40,Projection!$B$53:$B$69,0),MATCH(Summary!L$23,Projection!$BE$3:$BH$3))</f>
        <v>0</v>
      </c>
      <c r="M40" s="76">
        <f>INDEX(Projection!$BE$137:$BH$153,MATCH(Summary!$I40,Projection!$B$53:$B$69,0),MATCH(Summary!M$23,Projection!$BE$3:$BH$3))</f>
        <v>0</v>
      </c>
      <c r="N40" s="76">
        <f>INDEX(Projection!$BE$53:$BH$69,MATCH(Summary!$I40,Projection!$B$53:$B$69,0),MATCH(Summary!N$23,Projection!$BE$3:$BH$3))</f>
        <v>0</v>
      </c>
      <c r="O40" s="76">
        <f>INDEX(Projection!$BE$95:$BH$111,MATCH(Summary!$I40,Projection!$B$53:$B$69,0),MATCH(Summary!O$23,Projection!$BE$3:$BH$3))</f>
        <v>0</v>
      </c>
      <c r="P40" s="76">
        <f>INDEX(Projection!$BE$116:$BH$132,MATCH(Summary!$I40,Projection!$B$53:$B$69,0),MATCH(Summary!P$23,Projection!$BE$3:$BH$3))</f>
        <v>0</v>
      </c>
      <c r="Q40" s="76">
        <f>INDEX(Projection!$BE$137:$BH$153,MATCH(Summary!$I40,Projection!$B$53:$B$69,0),MATCH(Summary!Q$23,Projection!$BE$3:$BH$3))</f>
        <v>0</v>
      </c>
      <c r="R40" s="76">
        <f>INDEX(Projection!$BE$53:$BH$69,MATCH(Summary!$I40,Projection!$B$53:$B$69,0),MATCH(Summary!R$23,Projection!$BE$3:$BH$3))</f>
        <v>0</v>
      </c>
      <c r="S40" s="76">
        <f>INDEX(Projection!$BE$95:$BH$111,MATCH(Summary!$I40,Projection!$B$53:$B$69,0),MATCH(Summary!S$23,Projection!$BE$3:$BH$3))</f>
        <v>0</v>
      </c>
      <c r="T40" s="76">
        <f>INDEX(Projection!$BE$116:$BH$132,MATCH(Summary!$I40,Projection!$B$53:$B$69,0),MATCH(Summary!T$23,Projection!$BE$3:$BH$3))</f>
        <v>0</v>
      </c>
      <c r="U40" s="76">
        <f>INDEX(Projection!$BE$137:$BH$153,MATCH(Summary!$I40,Projection!$B$53:$B$69,0),MATCH(Summary!U$23,Projection!$BE$3:$BH$3))</f>
        <v>0</v>
      </c>
      <c r="V40" s="76">
        <f>INDEX(Projection!$BE$53:$BH$69,MATCH(Summary!$I40,Projection!$B$53:$B$69,0),MATCH(Summary!V$23,Projection!$BE$3:$BH$3))</f>
        <v>0</v>
      </c>
      <c r="W40" s="76">
        <f>INDEX(Projection!$BE$95:$BH$111,MATCH(Summary!$I40,Projection!$B$53:$B$69,0),MATCH(Summary!W$23,Projection!$BE$3:$BH$3))</f>
        <v>0</v>
      </c>
      <c r="X40" s="76">
        <f>INDEX(Projection!$BE$116:$BH$132,MATCH(Summary!$I40,Projection!$B$53:$B$69,0),MATCH(Summary!X$23,Projection!$BE$3:$BH$3))</f>
        <v>0</v>
      </c>
      <c r="Y40" s="76">
        <f>INDEX(Projection!$BE$137:$BH$153,MATCH(Summary!$I40,Projection!$B$53:$B$69,0),MATCH(Summary!Y$23,Projection!$BE$3:$BH$3))</f>
        <v>0</v>
      </c>
    </row>
    <row r="41" spans="2:25" ht="21" customHeight="1" x14ac:dyDescent="0.35">
      <c r="I41" s="29" t="str">
        <f>Projection!B23</f>
        <v>Other (staff release for training and implementation activity)</v>
      </c>
      <c r="J41" s="76">
        <f>INDEX(Projection!$BE$53:$BH$69,MATCH(Summary!$I41,Projection!$B$53:$B$69,0),MATCH(Summary!J$23,Projection!$BE$3:$BH$3))</f>
        <v>852</v>
      </c>
      <c r="K41" s="76">
        <f>INDEX(Projection!$BE$95:$BH$111,MATCH(Summary!$I41,Projection!$B$53:$B$69,0),MATCH(Summary!K$23,Projection!$BE$3:$BH$3))</f>
        <v>744</v>
      </c>
      <c r="L41" s="76">
        <f>INDEX(Projection!$BE$116:$BH$132,MATCH(Summary!$I41,Projection!$B$53:$B$69,0),MATCH(Summary!L$23,Projection!$BE$3:$BH$3))</f>
        <v>0</v>
      </c>
      <c r="M41" s="76">
        <f>INDEX(Projection!$BE$137:$BH$153,MATCH(Summary!$I41,Projection!$B$53:$B$69,0),MATCH(Summary!M$23,Projection!$BE$3:$BH$3))</f>
        <v>0</v>
      </c>
      <c r="N41" s="76">
        <f>INDEX(Projection!$BE$53:$BH$69,MATCH(Summary!$I41,Projection!$B$53:$B$69,0),MATCH(Summary!N$23,Projection!$BE$3:$BH$3))</f>
        <v>852</v>
      </c>
      <c r="O41" s="76">
        <f>INDEX(Projection!$BE$95:$BH$111,MATCH(Summary!$I41,Projection!$B$53:$B$69,0),MATCH(Summary!O$23,Projection!$BE$3:$BH$3))</f>
        <v>744</v>
      </c>
      <c r="P41" s="76">
        <f>INDEX(Projection!$BE$116:$BH$132,MATCH(Summary!$I41,Projection!$B$53:$B$69,0),MATCH(Summary!P$23,Projection!$BE$3:$BH$3))</f>
        <v>0</v>
      </c>
      <c r="Q41" s="76">
        <f>INDEX(Projection!$BE$137:$BH$153,MATCH(Summary!$I41,Projection!$B$53:$B$69,0),MATCH(Summary!Q$23,Projection!$BE$3:$BH$3))</f>
        <v>0</v>
      </c>
      <c r="R41" s="76">
        <f>INDEX(Projection!$BE$53:$BH$69,MATCH(Summary!$I41,Projection!$B$53:$B$69,0),MATCH(Summary!R$23,Projection!$BE$3:$BH$3))</f>
        <v>852</v>
      </c>
      <c r="S41" s="76">
        <f>INDEX(Projection!$BE$95:$BH$111,MATCH(Summary!$I41,Projection!$B$53:$B$69,0),MATCH(Summary!S$23,Projection!$BE$3:$BH$3))</f>
        <v>744</v>
      </c>
      <c r="T41" s="76">
        <f>INDEX(Projection!$BE$116:$BH$132,MATCH(Summary!$I41,Projection!$B$53:$B$69,0),MATCH(Summary!T$23,Projection!$BE$3:$BH$3))</f>
        <v>0</v>
      </c>
      <c r="U41" s="76">
        <f>INDEX(Projection!$BE$137:$BH$153,MATCH(Summary!$I41,Projection!$B$53:$B$69,0),MATCH(Summary!U$23,Projection!$BE$3:$BH$3))</f>
        <v>0</v>
      </c>
      <c r="V41" s="76">
        <f>INDEX(Projection!$BE$53:$BH$69,MATCH(Summary!$I41,Projection!$B$53:$B$69,0),MATCH(Summary!V$23,Projection!$BE$3:$BH$3))</f>
        <v>852</v>
      </c>
      <c r="W41" s="76">
        <f>INDEX(Projection!$BE$95:$BH$111,MATCH(Summary!$I41,Projection!$B$53:$B$69,0),MATCH(Summary!W$23,Projection!$BE$3:$BH$3))</f>
        <v>744</v>
      </c>
      <c r="X41" s="76">
        <f>INDEX(Projection!$BE$116:$BH$132,MATCH(Summary!$I41,Projection!$B$53:$B$69,0),MATCH(Summary!X$23,Projection!$BE$3:$BH$3))</f>
        <v>0</v>
      </c>
      <c r="Y41" s="76">
        <f>INDEX(Projection!$BE$137:$BH$153,MATCH(Summary!$I41,Projection!$B$53:$B$69,0),MATCH(Summary!Y$23,Projection!$BE$3:$BH$3))</f>
        <v>0</v>
      </c>
    </row>
    <row r="42" spans="2:25" ht="21" customHeight="1" x14ac:dyDescent="0.35">
      <c r="I42" s="29" t="s">
        <v>180</v>
      </c>
      <c r="J42" s="76">
        <f>SUM(J25:J41)</f>
        <v>-29674.339827143664</v>
      </c>
      <c r="K42" s="76">
        <f>SUM(K25:K41)</f>
        <v>-24620.459673045028</v>
      </c>
      <c r="L42" s="76">
        <f>SUM(L25:L41)</f>
        <v>9360.0000000000018</v>
      </c>
      <c r="M42" s="76">
        <f>SUM(M25:M41)</f>
        <v>90881.364963503656</v>
      </c>
      <c r="N42" s="76">
        <f>SUM(N25:N41)</f>
        <v>-43419.821167883201</v>
      </c>
      <c r="O42" s="76">
        <f t="shared" ref="O42:Y42" si="3">SUM(O25:O41)</f>
        <v>-25819.952068126528</v>
      </c>
      <c r="P42" s="76">
        <f t="shared" si="3"/>
        <v>9360.0000000000018</v>
      </c>
      <c r="Q42" s="76">
        <f t="shared" si="3"/>
        <v>38878.45182481753</v>
      </c>
      <c r="R42" s="76">
        <f t="shared" si="3"/>
        <v>-42340.806569343069</v>
      </c>
      <c r="S42" s="76">
        <f t="shared" si="3"/>
        <v>4962.0698296836817</v>
      </c>
      <c r="T42" s="76">
        <f t="shared" si="3"/>
        <v>9360.0000000000018</v>
      </c>
      <c r="U42" s="76">
        <f t="shared" si="3"/>
        <v>-13053.321897810209</v>
      </c>
      <c r="V42" s="76">
        <f t="shared" si="3"/>
        <v>-44835.336678832115</v>
      </c>
      <c r="W42" s="76">
        <f t="shared" si="3"/>
        <v>33339.341909975657</v>
      </c>
      <c r="X42" s="76">
        <f t="shared" si="3"/>
        <v>9360.0000000000018</v>
      </c>
      <c r="Y42" s="76">
        <f t="shared" si="3"/>
        <v>-36837.599999999977</v>
      </c>
    </row>
    <row r="43" spans="2:25" ht="21" customHeight="1" x14ac:dyDescent="0.35">
      <c r="I43" s="29" t="s">
        <v>181</v>
      </c>
      <c r="J43" s="101">
        <f>IFERROR('Master Data'!$O$10/(GP_FTE*Annual_FTE_hours*60),0)</f>
        <v>1.5625</v>
      </c>
      <c r="K43" s="101">
        <f>IFERROR('Master Data'!$O$11/(Nurse_FTE*Annual_FTE_hours*60),0)</f>
        <v>0.52083333333333337</v>
      </c>
      <c r="L43" s="101">
        <f>HCA!$C$7/60</f>
        <v>0.36666666666666664</v>
      </c>
      <c r="M43" s="101">
        <f>IFERROR('Master Data'!$O$21/(Admin_FTE*Annual_FTE_hours*60),0)</f>
        <v>0.390625</v>
      </c>
      <c r="N43" s="101">
        <f t="shared" ref="N43:Y43" si="4">J43</f>
        <v>1.5625</v>
      </c>
      <c r="O43" s="101">
        <f t="shared" si="4"/>
        <v>0.52083333333333337</v>
      </c>
      <c r="P43" s="101">
        <f t="shared" si="4"/>
        <v>0.36666666666666664</v>
      </c>
      <c r="Q43" s="101">
        <f t="shared" si="4"/>
        <v>0.390625</v>
      </c>
      <c r="R43" s="101">
        <f t="shared" si="4"/>
        <v>1.5625</v>
      </c>
      <c r="S43" s="101">
        <f t="shared" si="4"/>
        <v>0.52083333333333337</v>
      </c>
      <c r="T43" s="101">
        <f t="shared" si="4"/>
        <v>0.36666666666666664</v>
      </c>
      <c r="U43" s="101">
        <f t="shared" si="4"/>
        <v>0.390625</v>
      </c>
      <c r="V43" s="101">
        <f t="shared" si="4"/>
        <v>1.5625</v>
      </c>
      <c r="W43" s="101">
        <f t="shared" si="4"/>
        <v>0.52083333333333337</v>
      </c>
      <c r="X43" s="101">
        <f t="shared" si="4"/>
        <v>0.36666666666666664</v>
      </c>
      <c r="Y43" s="101">
        <f t="shared" si="4"/>
        <v>0.390625</v>
      </c>
    </row>
    <row r="44" spans="2:25" ht="21" customHeight="1" x14ac:dyDescent="0.35">
      <c r="I44" s="29" t="s">
        <v>182</v>
      </c>
      <c r="J44" s="76">
        <f>J42*J43</f>
        <v>-46366.155979911971</v>
      </c>
      <c r="K44" s="76">
        <f>K42*K43</f>
        <v>-12823.156079710954</v>
      </c>
      <c r="L44" s="76">
        <f>L42*L43</f>
        <v>3432.0000000000005</v>
      </c>
      <c r="M44" s="76">
        <f>M42*M43</f>
        <v>35500.533188868612</v>
      </c>
      <c r="N44" s="76">
        <f>N42*N43</f>
        <v>-67843.470574817504</v>
      </c>
      <c r="O44" s="76">
        <f t="shared" ref="O44:Y44" si="5">O42*O43</f>
        <v>-13447.891702149234</v>
      </c>
      <c r="P44" s="76">
        <f t="shared" si="5"/>
        <v>3432.0000000000005</v>
      </c>
      <c r="Q44" s="76">
        <f t="shared" si="5"/>
        <v>15186.895244069348</v>
      </c>
      <c r="R44" s="76">
        <f t="shared" si="5"/>
        <v>-66157.510264598546</v>
      </c>
      <c r="S44" s="76">
        <f t="shared" si="5"/>
        <v>2584.4113696269178</v>
      </c>
      <c r="T44" s="76">
        <f t="shared" si="5"/>
        <v>3432.0000000000005</v>
      </c>
      <c r="U44" s="76">
        <f t="shared" si="5"/>
        <v>-5098.9538663321127</v>
      </c>
      <c r="V44" s="76">
        <f t="shared" si="5"/>
        <v>-70055.213560675184</v>
      </c>
      <c r="W44" s="76">
        <f t="shared" si="5"/>
        <v>17364.240578112323</v>
      </c>
      <c r="X44" s="76">
        <f t="shared" si="5"/>
        <v>3432.0000000000005</v>
      </c>
      <c r="Y44" s="76">
        <f t="shared" si="5"/>
        <v>-14389.687499999991</v>
      </c>
    </row>
    <row r="45" spans="2:25" ht="21" customHeight="1" x14ac:dyDescent="0.35">
      <c r="J45" s="34"/>
      <c r="K45" s="34">
        <f>K36*K43</f>
        <v>-30032.786885245903</v>
      </c>
      <c r="L45" s="34">
        <f>L36*L43</f>
        <v>0</v>
      </c>
      <c r="M45" s="34"/>
      <c r="N45" s="34"/>
      <c r="O45" s="34"/>
      <c r="P45" s="34"/>
      <c r="Q45" s="34"/>
      <c r="R45" s="34"/>
      <c r="S45" s="34"/>
      <c r="T45" s="34"/>
      <c r="U45" s="34"/>
      <c r="V45" s="34"/>
      <c r="W45" s="34"/>
      <c r="X45" s="34"/>
      <c r="Y45" s="34"/>
    </row>
    <row r="46" spans="2:25" ht="21" customHeight="1" x14ac:dyDescent="0.35">
      <c r="I46" s="29" t="s">
        <v>187</v>
      </c>
      <c r="L46" s="29" t="s">
        <v>188</v>
      </c>
      <c r="M46" s="76">
        <f>SUM(J44:M44)</f>
        <v>-20256.778870754315</v>
      </c>
      <c r="P46" s="29" t="s">
        <v>189</v>
      </c>
      <c r="Q46" s="76">
        <f>SUM(N44:Q44)</f>
        <v>-62672.467032897395</v>
      </c>
      <c r="T46" s="29" t="s">
        <v>190</v>
      </c>
      <c r="U46" s="76">
        <f>SUM(R44:U44)</f>
        <v>-65240.052761303741</v>
      </c>
      <c r="X46" s="29" t="s">
        <v>191</v>
      </c>
      <c r="Y46" s="76">
        <f>SUM(V44:Y44)</f>
        <v>-63648.660482562853</v>
      </c>
    </row>
  </sheetData>
  <sheetProtection selectLockedCells="1" selectUnlockedCells="1"/>
  <mergeCells count="3">
    <mergeCell ref="D2:G2"/>
    <mergeCell ref="J2:M2"/>
    <mergeCell ref="B29:G29"/>
  </mergeCells>
  <conditionalFormatting sqref="B43:D43">
    <cfRule type="expression" dxfId="1" priority="1">
      <formula>#REF!="No"</formula>
    </cfRule>
  </conditionalFormatting>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1"/>
  <dimension ref="B2:BH155"/>
  <sheetViews>
    <sheetView zoomScaleNormal="100" workbookViewId="0">
      <pane xSplit="2" ySplit="4" topLeftCell="C5" activePane="bottomRight" state="frozen"/>
      <selection pane="topRight" activeCell="C1" sqref="C1"/>
      <selection pane="bottomLeft" activeCell="A5" sqref="A5"/>
      <selection pane="bottomRight" activeCell="H7" sqref="H7:BC8"/>
    </sheetView>
  </sheetViews>
  <sheetFormatPr defaultColWidth="9.08984375" defaultRowHeight="21" customHeight="1" x14ac:dyDescent="0.35"/>
  <cols>
    <col min="1" max="1" width="9.08984375" style="49"/>
    <col min="2" max="2" width="56" style="56" bestFit="1" customWidth="1"/>
    <col min="3" max="3" width="10.6328125" style="57" bestFit="1" customWidth="1"/>
    <col min="4" max="4" width="12" style="57" bestFit="1" customWidth="1"/>
    <col min="5" max="5" width="23.90625" style="57" customWidth="1"/>
    <col min="6" max="6" width="15.90625" style="49" bestFit="1" customWidth="1"/>
    <col min="7" max="7" width="16.36328125" style="49" customWidth="1"/>
    <col min="8" max="55" width="13.453125" style="49" customWidth="1"/>
    <col min="56" max="56" width="9.08984375" style="49"/>
    <col min="57" max="60" width="16.54296875" style="49" customWidth="1"/>
    <col min="61" max="16384" width="9.08984375" style="49"/>
  </cols>
  <sheetData>
    <row r="2" spans="2:60" s="57" customFormat="1" ht="21" customHeight="1" x14ac:dyDescent="0.35">
      <c r="B2" s="63" t="s">
        <v>63</v>
      </c>
      <c r="H2" s="71">
        <f>IF(MONTH(H4)&lt;4,YEAR(H4),YEAR(H4)+1)</f>
        <v>2020</v>
      </c>
      <c r="I2" s="71">
        <f>IF(MONTH(I4)&lt;4,YEAR(I4),YEAR(I4)+1)</f>
        <v>2020</v>
      </c>
      <c r="J2" s="71">
        <f t="shared" ref="J2:T2" si="0">IF(MONTH(J4)&lt;4,YEAR(J4),YEAR(J4)+1)</f>
        <v>2020</v>
      </c>
      <c r="K2" s="71">
        <f t="shared" si="0"/>
        <v>2020</v>
      </c>
      <c r="L2" s="71">
        <f t="shared" si="0"/>
        <v>2020</v>
      </c>
      <c r="M2" s="71">
        <f t="shared" si="0"/>
        <v>2020</v>
      </c>
      <c r="N2" s="71">
        <f t="shared" si="0"/>
        <v>2020</v>
      </c>
      <c r="O2" s="71">
        <f t="shared" si="0"/>
        <v>2020</v>
      </c>
      <c r="P2" s="71">
        <f t="shared" si="0"/>
        <v>2021</v>
      </c>
      <c r="Q2" s="71">
        <f t="shared" si="0"/>
        <v>2021</v>
      </c>
      <c r="R2" s="71">
        <f t="shared" si="0"/>
        <v>2021</v>
      </c>
      <c r="S2" s="71">
        <f t="shared" si="0"/>
        <v>2021</v>
      </c>
      <c r="T2" s="71">
        <f t="shared" si="0"/>
        <v>2021</v>
      </c>
      <c r="U2" s="71">
        <f t="shared" ref="U2:AQ2" si="1">IF(MONTH(U4)&lt;4,YEAR(U4),YEAR(U4)+1)</f>
        <v>2021</v>
      </c>
      <c r="V2" s="71">
        <f t="shared" si="1"/>
        <v>2021</v>
      </c>
      <c r="W2" s="71">
        <f t="shared" si="1"/>
        <v>2021</v>
      </c>
      <c r="X2" s="71">
        <f t="shared" si="1"/>
        <v>2021</v>
      </c>
      <c r="Y2" s="71">
        <f t="shared" si="1"/>
        <v>2021</v>
      </c>
      <c r="Z2" s="71">
        <f t="shared" si="1"/>
        <v>2021</v>
      </c>
      <c r="AA2" s="71">
        <f t="shared" si="1"/>
        <v>2021</v>
      </c>
      <c r="AB2" s="71">
        <f t="shared" si="1"/>
        <v>2022</v>
      </c>
      <c r="AC2" s="71">
        <f t="shared" si="1"/>
        <v>2022</v>
      </c>
      <c r="AD2" s="71">
        <f t="shared" si="1"/>
        <v>2022</v>
      </c>
      <c r="AE2" s="71">
        <f t="shared" si="1"/>
        <v>2022</v>
      </c>
      <c r="AF2" s="71">
        <f t="shared" si="1"/>
        <v>2022</v>
      </c>
      <c r="AG2" s="71">
        <f t="shared" si="1"/>
        <v>2022</v>
      </c>
      <c r="AH2" s="71">
        <f t="shared" si="1"/>
        <v>2022</v>
      </c>
      <c r="AI2" s="71">
        <f t="shared" si="1"/>
        <v>2022</v>
      </c>
      <c r="AJ2" s="71">
        <f t="shared" si="1"/>
        <v>2022</v>
      </c>
      <c r="AK2" s="71">
        <f t="shared" si="1"/>
        <v>2022</v>
      </c>
      <c r="AL2" s="71">
        <f t="shared" si="1"/>
        <v>2022</v>
      </c>
      <c r="AM2" s="71">
        <f t="shared" si="1"/>
        <v>2022</v>
      </c>
      <c r="AN2" s="71">
        <f t="shared" si="1"/>
        <v>2023</v>
      </c>
      <c r="AO2" s="71">
        <f t="shared" si="1"/>
        <v>2023</v>
      </c>
      <c r="AP2" s="71">
        <f t="shared" si="1"/>
        <v>2023</v>
      </c>
      <c r="AQ2" s="71">
        <f t="shared" si="1"/>
        <v>2023</v>
      </c>
      <c r="AR2" s="71">
        <f t="shared" ref="AR2:BB2" si="2">IF(MONTH(AR4)&lt;4,YEAR(AR4),YEAR(AR4)+1)</f>
        <v>2023</v>
      </c>
      <c r="AS2" s="71">
        <f t="shared" si="2"/>
        <v>2023</v>
      </c>
      <c r="AT2" s="71">
        <f t="shared" si="2"/>
        <v>2023</v>
      </c>
      <c r="AU2" s="71">
        <f t="shared" si="2"/>
        <v>2023</v>
      </c>
      <c r="AV2" s="71">
        <f t="shared" si="2"/>
        <v>2023</v>
      </c>
      <c r="AW2" s="71">
        <f t="shared" si="2"/>
        <v>2023</v>
      </c>
      <c r="AX2" s="71">
        <f t="shared" si="2"/>
        <v>2023</v>
      </c>
      <c r="AY2" s="71">
        <f t="shared" si="2"/>
        <v>2023</v>
      </c>
      <c r="AZ2" s="71">
        <f t="shared" si="2"/>
        <v>2024</v>
      </c>
      <c r="BA2" s="71">
        <f t="shared" si="2"/>
        <v>2024</v>
      </c>
      <c r="BB2" s="71">
        <f t="shared" si="2"/>
        <v>2024</v>
      </c>
      <c r="BC2" s="71">
        <f>IF(MONTH(BC4)&lt;4,YEAR(BC4),YEAR(BC4)+1)</f>
        <v>2024</v>
      </c>
      <c r="BE2" s="198" t="s">
        <v>111</v>
      </c>
      <c r="BF2" s="198"/>
      <c r="BG2" s="198"/>
      <c r="BH2" s="198"/>
    </row>
    <row r="3" spans="2:60" s="57" customFormat="1" ht="21" customHeight="1" x14ac:dyDescent="0.35">
      <c r="B3" s="63" t="s">
        <v>64</v>
      </c>
      <c r="H3" s="72">
        <f>ROUNDUP(COUNT($H$4:H$4)/12,0)</f>
        <v>1</v>
      </c>
      <c r="I3" s="72">
        <f>ROUNDUP(COUNT($H$4:I$4)/12,0)</f>
        <v>1</v>
      </c>
      <c r="J3" s="72">
        <f>ROUNDUP(COUNT($H$4:J$4)/12,0)</f>
        <v>1</v>
      </c>
      <c r="K3" s="72">
        <f>ROUNDUP(COUNT($H$4:K$4)/12,0)</f>
        <v>1</v>
      </c>
      <c r="L3" s="72">
        <f>ROUNDUP(COUNT($H$4:L$4)/12,0)</f>
        <v>1</v>
      </c>
      <c r="M3" s="72">
        <f>ROUNDUP(COUNT($H$4:M$4)/12,0)</f>
        <v>1</v>
      </c>
      <c r="N3" s="72">
        <f>ROUNDUP(COUNT($H$4:N$4)/12,0)</f>
        <v>1</v>
      </c>
      <c r="O3" s="72">
        <f>ROUNDUP(COUNT($H$4:O$4)/12,0)</f>
        <v>1</v>
      </c>
      <c r="P3" s="72">
        <f>ROUNDUP(COUNT($H$4:P$4)/12,0)</f>
        <v>1</v>
      </c>
      <c r="Q3" s="72">
        <f>ROUNDUP(COUNT($H$4:Q$4)/12,0)</f>
        <v>1</v>
      </c>
      <c r="R3" s="72">
        <f>ROUNDUP(COUNT($H$4:R$4)/12,0)</f>
        <v>1</v>
      </c>
      <c r="S3" s="72">
        <f>ROUNDUP(COUNT($H$4:S$4)/12,0)</f>
        <v>1</v>
      </c>
      <c r="T3" s="72">
        <f>ROUNDUP(COUNT($H$4:T$4)/12,0)</f>
        <v>2</v>
      </c>
      <c r="U3" s="72">
        <f>ROUNDUP(COUNT($H$4:U$4)/12,0)</f>
        <v>2</v>
      </c>
      <c r="V3" s="72">
        <f>ROUNDUP(COUNT($H$4:V$4)/12,0)</f>
        <v>2</v>
      </c>
      <c r="W3" s="72">
        <f>ROUNDUP(COUNT($H$4:W$4)/12,0)</f>
        <v>2</v>
      </c>
      <c r="X3" s="72">
        <f>ROUNDUP(COUNT($H$4:X$4)/12,0)</f>
        <v>2</v>
      </c>
      <c r="Y3" s="72">
        <f>ROUNDUP(COUNT($H$4:Y$4)/12,0)</f>
        <v>2</v>
      </c>
      <c r="Z3" s="72">
        <f>ROUNDUP(COUNT($H$4:Z$4)/12,0)</f>
        <v>2</v>
      </c>
      <c r="AA3" s="72">
        <f>ROUNDUP(COUNT($H$4:AA$4)/12,0)</f>
        <v>2</v>
      </c>
      <c r="AB3" s="72">
        <f>ROUNDUP(COUNT($H$4:AB$4)/12,0)</f>
        <v>2</v>
      </c>
      <c r="AC3" s="72">
        <f>ROUNDUP(COUNT($H$4:AC$4)/12,0)</f>
        <v>2</v>
      </c>
      <c r="AD3" s="72">
        <f>ROUNDUP(COUNT($H$4:AD$4)/12,0)</f>
        <v>2</v>
      </c>
      <c r="AE3" s="72">
        <f>ROUNDUP(COUNT($H$4:AE$4)/12,0)</f>
        <v>2</v>
      </c>
      <c r="AF3" s="72">
        <f>ROUNDUP(COUNT($H$4:AF$4)/12,0)</f>
        <v>3</v>
      </c>
      <c r="AG3" s="72">
        <f>ROUNDUP(COUNT($H$4:AG$4)/12,0)</f>
        <v>3</v>
      </c>
      <c r="AH3" s="72">
        <f>ROUNDUP(COUNT($H$4:AH$4)/12,0)</f>
        <v>3</v>
      </c>
      <c r="AI3" s="72">
        <f>ROUNDUP(COUNT($H$4:AI$4)/12,0)</f>
        <v>3</v>
      </c>
      <c r="AJ3" s="72">
        <f>ROUNDUP(COUNT($H$4:AJ$4)/12,0)</f>
        <v>3</v>
      </c>
      <c r="AK3" s="72">
        <f>ROUNDUP(COUNT($H$4:AK$4)/12,0)</f>
        <v>3</v>
      </c>
      <c r="AL3" s="72">
        <f>ROUNDUP(COUNT($H$4:AL$4)/12,0)</f>
        <v>3</v>
      </c>
      <c r="AM3" s="72">
        <f>ROUNDUP(COUNT($H$4:AM$4)/12,0)</f>
        <v>3</v>
      </c>
      <c r="AN3" s="72">
        <f>ROUNDUP(COUNT($H$4:AN$4)/12,0)</f>
        <v>3</v>
      </c>
      <c r="AO3" s="72">
        <f>ROUNDUP(COUNT($H$4:AO$4)/12,0)</f>
        <v>3</v>
      </c>
      <c r="AP3" s="72">
        <f>ROUNDUP(COUNT($H$4:AP$4)/12,0)</f>
        <v>3</v>
      </c>
      <c r="AQ3" s="72">
        <f>ROUNDUP(COUNT($H$4:AQ$4)/12,0)</f>
        <v>3</v>
      </c>
      <c r="AR3" s="72">
        <f>ROUNDUP(COUNT($H$4:AR$4)/12,0)</f>
        <v>4</v>
      </c>
      <c r="AS3" s="72">
        <f>ROUNDUP(COUNT($H$4:AS$4)/12,0)</f>
        <v>4</v>
      </c>
      <c r="AT3" s="72">
        <f>ROUNDUP(COUNT($H$4:AT$4)/12,0)</f>
        <v>4</v>
      </c>
      <c r="AU3" s="72">
        <f>ROUNDUP(COUNT($H$4:AU$4)/12,0)</f>
        <v>4</v>
      </c>
      <c r="AV3" s="72">
        <f>ROUNDUP(COUNT($H$4:AV$4)/12,0)</f>
        <v>4</v>
      </c>
      <c r="AW3" s="72">
        <f>ROUNDUP(COUNT($H$4:AW$4)/12,0)</f>
        <v>4</v>
      </c>
      <c r="AX3" s="72">
        <f>ROUNDUP(COUNT($H$4:AX$4)/12,0)</f>
        <v>4</v>
      </c>
      <c r="AY3" s="72">
        <f>ROUNDUP(COUNT($H$4:AY$4)/12,0)</f>
        <v>4</v>
      </c>
      <c r="AZ3" s="72">
        <f>ROUNDUP(COUNT($H$4:AZ$4)/12,0)</f>
        <v>4</v>
      </c>
      <c r="BA3" s="72">
        <f>ROUNDUP(COUNT($H$4:BA$4)/12,0)</f>
        <v>4</v>
      </c>
      <c r="BB3" s="72">
        <f>ROUNDUP(COUNT($H$4:BB$4)/12,0)</f>
        <v>4</v>
      </c>
      <c r="BC3" s="72">
        <f>ROUNDUP(COUNT($H$4:BC$4)/12,0)</f>
        <v>4</v>
      </c>
      <c r="BE3" s="91">
        <v>1</v>
      </c>
      <c r="BF3" s="91">
        <v>2</v>
      </c>
      <c r="BG3" s="91">
        <v>3</v>
      </c>
      <c r="BH3" s="91">
        <v>4</v>
      </c>
    </row>
    <row r="4" spans="2:60" s="57" customFormat="1" ht="21" customHeight="1" x14ac:dyDescent="0.35">
      <c r="B4" s="63" t="s">
        <v>65</v>
      </c>
      <c r="H4" s="73">
        <f>EOMONTH('Master Data'!C4,0)</f>
        <v>43708</v>
      </c>
      <c r="I4" s="73">
        <f>EOMONTH(H4,1)</f>
        <v>43738</v>
      </c>
      <c r="J4" s="73">
        <f t="shared" ref="J4:AQ4" si="3">EOMONTH(I4,1)</f>
        <v>43769</v>
      </c>
      <c r="K4" s="73">
        <f t="shared" si="3"/>
        <v>43799</v>
      </c>
      <c r="L4" s="73">
        <f t="shared" si="3"/>
        <v>43830</v>
      </c>
      <c r="M4" s="73">
        <f t="shared" si="3"/>
        <v>43861</v>
      </c>
      <c r="N4" s="73">
        <f t="shared" si="3"/>
        <v>43890</v>
      </c>
      <c r="O4" s="73">
        <f t="shared" si="3"/>
        <v>43921</v>
      </c>
      <c r="P4" s="73">
        <f t="shared" si="3"/>
        <v>43951</v>
      </c>
      <c r="Q4" s="73">
        <f t="shared" si="3"/>
        <v>43982</v>
      </c>
      <c r="R4" s="73">
        <f t="shared" si="3"/>
        <v>44012</v>
      </c>
      <c r="S4" s="73">
        <f t="shared" si="3"/>
        <v>44043</v>
      </c>
      <c r="T4" s="73">
        <f t="shared" si="3"/>
        <v>44074</v>
      </c>
      <c r="U4" s="73">
        <f t="shared" si="3"/>
        <v>44104</v>
      </c>
      <c r="V4" s="73">
        <f t="shared" si="3"/>
        <v>44135</v>
      </c>
      <c r="W4" s="73">
        <f t="shared" si="3"/>
        <v>44165</v>
      </c>
      <c r="X4" s="73">
        <f t="shared" si="3"/>
        <v>44196</v>
      </c>
      <c r="Y4" s="73">
        <f t="shared" si="3"/>
        <v>44227</v>
      </c>
      <c r="Z4" s="73">
        <f t="shared" si="3"/>
        <v>44255</v>
      </c>
      <c r="AA4" s="73">
        <f t="shared" si="3"/>
        <v>44286</v>
      </c>
      <c r="AB4" s="73">
        <f t="shared" si="3"/>
        <v>44316</v>
      </c>
      <c r="AC4" s="73">
        <f t="shared" si="3"/>
        <v>44347</v>
      </c>
      <c r="AD4" s="73">
        <f t="shared" si="3"/>
        <v>44377</v>
      </c>
      <c r="AE4" s="73">
        <f t="shared" si="3"/>
        <v>44408</v>
      </c>
      <c r="AF4" s="73">
        <f t="shared" si="3"/>
        <v>44439</v>
      </c>
      <c r="AG4" s="73">
        <f t="shared" si="3"/>
        <v>44469</v>
      </c>
      <c r="AH4" s="73">
        <f t="shared" si="3"/>
        <v>44500</v>
      </c>
      <c r="AI4" s="73">
        <f t="shared" si="3"/>
        <v>44530</v>
      </c>
      <c r="AJ4" s="73">
        <f t="shared" si="3"/>
        <v>44561</v>
      </c>
      <c r="AK4" s="73">
        <f t="shared" si="3"/>
        <v>44592</v>
      </c>
      <c r="AL4" s="73">
        <f t="shared" si="3"/>
        <v>44620</v>
      </c>
      <c r="AM4" s="73">
        <f t="shared" si="3"/>
        <v>44651</v>
      </c>
      <c r="AN4" s="73">
        <f t="shared" si="3"/>
        <v>44681</v>
      </c>
      <c r="AO4" s="73">
        <f t="shared" si="3"/>
        <v>44712</v>
      </c>
      <c r="AP4" s="73">
        <f t="shared" si="3"/>
        <v>44742</v>
      </c>
      <c r="AQ4" s="73">
        <f t="shared" si="3"/>
        <v>44773</v>
      </c>
      <c r="AR4" s="73">
        <f t="shared" ref="AR4:BC4" si="4">EOMONTH(AQ4,1)</f>
        <v>44804</v>
      </c>
      <c r="AS4" s="73">
        <f t="shared" si="4"/>
        <v>44834</v>
      </c>
      <c r="AT4" s="73">
        <f t="shared" si="4"/>
        <v>44865</v>
      </c>
      <c r="AU4" s="73">
        <f t="shared" si="4"/>
        <v>44895</v>
      </c>
      <c r="AV4" s="73">
        <f t="shared" si="4"/>
        <v>44926</v>
      </c>
      <c r="AW4" s="73">
        <f t="shared" si="4"/>
        <v>44957</v>
      </c>
      <c r="AX4" s="73">
        <f t="shared" si="4"/>
        <v>44985</v>
      </c>
      <c r="AY4" s="73">
        <f t="shared" si="4"/>
        <v>45016</v>
      </c>
      <c r="AZ4" s="73">
        <f t="shared" si="4"/>
        <v>45046</v>
      </c>
      <c r="BA4" s="73">
        <f t="shared" si="4"/>
        <v>45077</v>
      </c>
      <c r="BB4" s="73">
        <f t="shared" si="4"/>
        <v>45107</v>
      </c>
      <c r="BC4" s="73">
        <f t="shared" si="4"/>
        <v>45138</v>
      </c>
      <c r="BE4" s="57">
        <f>Projection!BE41+Projection!BE64*Summary!$J$43+Projection!BE85*Summary!$K$43+Projection!BE106*Summary!$K$43+Projection!BE127*Summary!$L$43+Projection!BE148*Summary!$M$43</f>
        <v>-1401.5300546448125</v>
      </c>
    </row>
    <row r="6" spans="2:60" ht="21" customHeight="1" x14ac:dyDescent="0.35">
      <c r="B6" s="58" t="s">
        <v>40</v>
      </c>
      <c r="C6" s="53" t="s">
        <v>58</v>
      </c>
      <c r="D6" s="53" t="s">
        <v>153</v>
      </c>
      <c r="E6" s="53" t="s">
        <v>59</v>
      </c>
      <c r="F6" s="53" t="s">
        <v>60</v>
      </c>
      <c r="G6" s="53" t="s">
        <v>307</v>
      </c>
      <c r="H6" s="59">
        <f>H$4</f>
        <v>43708</v>
      </c>
      <c r="I6" s="59">
        <f t="shared" ref="I6:BC6" si="5">I$4</f>
        <v>43738</v>
      </c>
      <c r="J6" s="59">
        <f t="shared" si="5"/>
        <v>43769</v>
      </c>
      <c r="K6" s="59">
        <f t="shared" si="5"/>
        <v>43799</v>
      </c>
      <c r="L6" s="59">
        <f t="shared" si="5"/>
        <v>43830</v>
      </c>
      <c r="M6" s="59">
        <f t="shared" si="5"/>
        <v>43861</v>
      </c>
      <c r="N6" s="59">
        <f t="shared" si="5"/>
        <v>43890</v>
      </c>
      <c r="O6" s="59">
        <f t="shared" si="5"/>
        <v>43921</v>
      </c>
      <c r="P6" s="59">
        <f t="shared" si="5"/>
        <v>43951</v>
      </c>
      <c r="Q6" s="59">
        <f t="shared" si="5"/>
        <v>43982</v>
      </c>
      <c r="R6" s="59">
        <f t="shared" si="5"/>
        <v>44012</v>
      </c>
      <c r="S6" s="59">
        <f t="shared" si="5"/>
        <v>44043</v>
      </c>
      <c r="T6" s="59">
        <f t="shared" si="5"/>
        <v>44074</v>
      </c>
      <c r="U6" s="59">
        <f t="shared" si="5"/>
        <v>44104</v>
      </c>
      <c r="V6" s="59">
        <f t="shared" si="5"/>
        <v>44135</v>
      </c>
      <c r="W6" s="59">
        <f t="shared" si="5"/>
        <v>44165</v>
      </c>
      <c r="X6" s="59">
        <f t="shared" si="5"/>
        <v>44196</v>
      </c>
      <c r="Y6" s="59">
        <f t="shared" si="5"/>
        <v>44227</v>
      </c>
      <c r="Z6" s="59">
        <f t="shared" si="5"/>
        <v>44255</v>
      </c>
      <c r="AA6" s="59">
        <f t="shared" si="5"/>
        <v>44286</v>
      </c>
      <c r="AB6" s="59">
        <f t="shared" si="5"/>
        <v>44316</v>
      </c>
      <c r="AC6" s="59">
        <f t="shared" si="5"/>
        <v>44347</v>
      </c>
      <c r="AD6" s="59">
        <f t="shared" si="5"/>
        <v>44377</v>
      </c>
      <c r="AE6" s="59">
        <f t="shared" si="5"/>
        <v>44408</v>
      </c>
      <c r="AF6" s="59">
        <f t="shared" si="5"/>
        <v>44439</v>
      </c>
      <c r="AG6" s="59">
        <f t="shared" si="5"/>
        <v>44469</v>
      </c>
      <c r="AH6" s="59">
        <f t="shared" si="5"/>
        <v>44500</v>
      </c>
      <c r="AI6" s="59">
        <f t="shared" si="5"/>
        <v>44530</v>
      </c>
      <c r="AJ6" s="59">
        <f t="shared" si="5"/>
        <v>44561</v>
      </c>
      <c r="AK6" s="59">
        <f t="shared" si="5"/>
        <v>44592</v>
      </c>
      <c r="AL6" s="59">
        <f t="shared" si="5"/>
        <v>44620</v>
      </c>
      <c r="AM6" s="59">
        <f t="shared" si="5"/>
        <v>44651</v>
      </c>
      <c r="AN6" s="59">
        <f t="shared" si="5"/>
        <v>44681</v>
      </c>
      <c r="AO6" s="59">
        <f t="shared" si="5"/>
        <v>44712</v>
      </c>
      <c r="AP6" s="59">
        <f t="shared" si="5"/>
        <v>44742</v>
      </c>
      <c r="AQ6" s="59">
        <f t="shared" si="5"/>
        <v>44773</v>
      </c>
      <c r="AR6" s="59">
        <f t="shared" si="5"/>
        <v>44804</v>
      </c>
      <c r="AS6" s="59">
        <f t="shared" si="5"/>
        <v>44834</v>
      </c>
      <c r="AT6" s="59">
        <f t="shared" si="5"/>
        <v>44865</v>
      </c>
      <c r="AU6" s="59">
        <f t="shared" si="5"/>
        <v>44895</v>
      </c>
      <c r="AV6" s="59">
        <f t="shared" si="5"/>
        <v>44926</v>
      </c>
      <c r="AW6" s="59">
        <f t="shared" si="5"/>
        <v>44957</v>
      </c>
      <c r="AX6" s="59">
        <f t="shared" si="5"/>
        <v>44985</v>
      </c>
      <c r="AY6" s="59">
        <f t="shared" si="5"/>
        <v>45016</v>
      </c>
      <c r="AZ6" s="59">
        <f t="shared" si="5"/>
        <v>45046</v>
      </c>
      <c r="BA6" s="59">
        <f t="shared" si="5"/>
        <v>45077</v>
      </c>
      <c r="BB6" s="59">
        <f t="shared" si="5"/>
        <v>45107</v>
      </c>
      <c r="BC6" s="59">
        <f t="shared" si="5"/>
        <v>45138</v>
      </c>
      <c r="BE6" s="72">
        <f>BE$3</f>
        <v>1</v>
      </c>
      <c r="BF6" s="72">
        <f>BF$3</f>
        <v>2</v>
      </c>
      <c r="BG6" s="72">
        <f>BG$3</f>
        <v>3</v>
      </c>
      <c r="BH6" s="72">
        <f>BH$3</f>
        <v>4</v>
      </c>
    </row>
    <row r="7" spans="2:60" ht="21" customHeight="1" x14ac:dyDescent="0.35">
      <c r="B7" s="60" t="s">
        <v>157</v>
      </c>
      <c r="C7" s="48">
        <f>'Master Data'!$C$4</f>
        <v>43678</v>
      </c>
      <c r="D7" s="48">
        <f>'Master Data'!$C$5</f>
        <v>44773</v>
      </c>
      <c r="E7" s="47">
        <v>1</v>
      </c>
      <c r="F7" s="76">
        <f>'Master Data'!F16</f>
        <v>60000</v>
      </c>
      <c r="G7" s="76"/>
      <c r="H7" s="76">
        <f t="shared" ref="H7:W10" si="6">IFERROR(MIN(1,MAX(0,(EOMONTH(H$4,0)+1-$C7)/(EDATE($C7,$E7)-$C7)))*$F7/12+IF(H$3=1,$G7/12,0),0)</f>
        <v>5000</v>
      </c>
      <c r="I7" s="76">
        <f t="shared" si="6"/>
        <v>5000</v>
      </c>
      <c r="J7" s="76">
        <f t="shared" si="6"/>
        <v>5000</v>
      </c>
      <c r="K7" s="76">
        <f t="shared" si="6"/>
        <v>5000</v>
      </c>
      <c r="L7" s="76">
        <f t="shared" si="6"/>
        <v>5000</v>
      </c>
      <c r="M7" s="76">
        <f t="shared" si="6"/>
        <v>5000</v>
      </c>
      <c r="N7" s="76">
        <f t="shared" si="6"/>
        <v>5000</v>
      </c>
      <c r="O7" s="76">
        <f t="shared" si="6"/>
        <v>5000</v>
      </c>
      <c r="P7" s="76">
        <f t="shared" si="6"/>
        <v>5000</v>
      </c>
      <c r="Q7" s="76">
        <f t="shared" si="6"/>
        <v>5000</v>
      </c>
      <c r="R7" s="76">
        <f t="shared" si="6"/>
        <v>5000</v>
      </c>
      <c r="S7" s="76">
        <f t="shared" si="6"/>
        <v>5000</v>
      </c>
      <c r="T7" s="76">
        <f t="shared" si="6"/>
        <v>5000</v>
      </c>
      <c r="U7" s="76">
        <f t="shared" si="6"/>
        <v>5000</v>
      </c>
      <c r="V7" s="76">
        <f t="shared" si="6"/>
        <v>5000</v>
      </c>
      <c r="W7" s="76">
        <f t="shared" si="6"/>
        <v>5000</v>
      </c>
      <c r="X7" s="76">
        <f t="shared" ref="I7:BC8" si="7">IFERROR(MIN(1,MAX(0,(EOMONTH(X$4,0)+1-$C7)/(EDATE($C7,$E7)-$C7)))*$F7/12+IF(X$3=1,$G7/12,0),0)</f>
        <v>5000</v>
      </c>
      <c r="Y7" s="76">
        <f t="shared" si="7"/>
        <v>5000</v>
      </c>
      <c r="Z7" s="76">
        <f t="shared" si="7"/>
        <v>5000</v>
      </c>
      <c r="AA7" s="76">
        <f t="shared" si="7"/>
        <v>5000</v>
      </c>
      <c r="AB7" s="76">
        <f t="shared" si="7"/>
        <v>5000</v>
      </c>
      <c r="AC7" s="76">
        <f t="shared" si="7"/>
        <v>5000</v>
      </c>
      <c r="AD7" s="76">
        <f t="shared" si="7"/>
        <v>5000</v>
      </c>
      <c r="AE7" s="76">
        <f t="shared" si="7"/>
        <v>5000</v>
      </c>
      <c r="AF7" s="76">
        <f t="shared" si="7"/>
        <v>5000</v>
      </c>
      <c r="AG7" s="76">
        <f t="shared" si="7"/>
        <v>5000</v>
      </c>
      <c r="AH7" s="76">
        <f t="shared" si="7"/>
        <v>5000</v>
      </c>
      <c r="AI7" s="76">
        <f t="shared" si="7"/>
        <v>5000</v>
      </c>
      <c r="AJ7" s="76">
        <f t="shared" si="7"/>
        <v>5000</v>
      </c>
      <c r="AK7" s="76">
        <f t="shared" si="7"/>
        <v>5000</v>
      </c>
      <c r="AL7" s="76">
        <f t="shared" si="7"/>
        <v>5000</v>
      </c>
      <c r="AM7" s="76">
        <f t="shared" si="7"/>
        <v>5000</v>
      </c>
      <c r="AN7" s="76">
        <f t="shared" si="7"/>
        <v>5000</v>
      </c>
      <c r="AO7" s="76">
        <f t="shared" si="7"/>
        <v>5000</v>
      </c>
      <c r="AP7" s="76">
        <f t="shared" si="7"/>
        <v>5000</v>
      </c>
      <c r="AQ7" s="76">
        <f t="shared" si="7"/>
        <v>5000</v>
      </c>
      <c r="AR7" s="76">
        <f t="shared" si="7"/>
        <v>5000</v>
      </c>
      <c r="AS7" s="76">
        <f t="shared" si="7"/>
        <v>5000</v>
      </c>
      <c r="AT7" s="76">
        <f t="shared" si="7"/>
        <v>5000</v>
      </c>
      <c r="AU7" s="76">
        <f t="shared" si="7"/>
        <v>5000</v>
      </c>
      <c r="AV7" s="76">
        <f t="shared" si="7"/>
        <v>5000</v>
      </c>
      <c r="AW7" s="76">
        <f t="shared" si="7"/>
        <v>5000</v>
      </c>
      <c r="AX7" s="76">
        <f t="shared" si="7"/>
        <v>5000</v>
      </c>
      <c r="AY7" s="76">
        <f t="shared" si="7"/>
        <v>5000</v>
      </c>
      <c r="AZ7" s="76">
        <f t="shared" si="7"/>
        <v>5000</v>
      </c>
      <c r="BA7" s="76">
        <f t="shared" si="7"/>
        <v>5000</v>
      </c>
      <c r="BB7" s="76">
        <f t="shared" si="7"/>
        <v>5000</v>
      </c>
      <c r="BC7" s="76">
        <f t="shared" si="7"/>
        <v>5000</v>
      </c>
      <c r="BE7" s="76">
        <f t="shared" ref="BE7:BE23" si="8">SUMIF($H$3:$BD$3,BE$3,$H7:$BD7)</f>
        <v>60000</v>
      </c>
      <c r="BF7" s="76">
        <f t="shared" ref="BF7:BH22" si="9">SUMIF($H$3:$BD$3,BF$3,$H7:$BD7)</f>
        <v>60000</v>
      </c>
      <c r="BG7" s="76">
        <f t="shared" si="9"/>
        <v>60000</v>
      </c>
      <c r="BH7" s="76">
        <f t="shared" si="9"/>
        <v>60000</v>
      </c>
    </row>
    <row r="8" spans="2:60" ht="21" customHeight="1" x14ac:dyDescent="0.35">
      <c r="B8" s="60" t="s">
        <v>158</v>
      </c>
      <c r="C8" s="48">
        <f>'Master Data'!$C$4</f>
        <v>43678</v>
      </c>
      <c r="D8" s="48">
        <f>'Master Data'!$C$5</f>
        <v>44773</v>
      </c>
      <c r="E8" s="47">
        <v>1</v>
      </c>
      <c r="F8" s="76">
        <f>'Master Data'!F17</f>
        <v>0</v>
      </c>
      <c r="G8" s="76"/>
      <c r="H8" s="76">
        <f t="shared" si="6"/>
        <v>0</v>
      </c>
      <c r="I8" s="76">
        <f t="shared" si="7"/>
        <v>0</v>
      </c>
      <c r="J8" s="76">
        <f t="shared" si="7"/>
        <v>0</v>
      </c>
      <c r="K8" s="76">
        <f t="shared" si="7"/>
        <v>0</v>
      </c>
      <c r="L8" s="76">
        <f t="shared" si="7"/>
        <v>0</v>
      </c>
      <c r="M8" s="76">
        <f t="shared" si="7"/>
        <v>0</v>
      </c>
      <c r="N8" s="76">
        <f t="shared" si="7"/>
        <v>0</v>
      </c>
      <c r="O8" s="76">
        <f t="shared" si="7"/>
        <v>0</v>
      </c>
      <c r="P8" s="76">
        <f t="shared" si="7"/>
        <v>0</v>
      </c>
      <c r="Q8" s="76">
        <f t="shared" si="7"/>
        <v>0</v>
      </c>
      <c r="R8" s="76">
        <f t="shared" si="7"/>
        <v>0</v>
      </c>
      <c r="S8" s="76">
        <f t="shared" si="7"/>
        <v>0</v>
      </c>
      <c r="T8" s="76">
        <f t="shared" si="7"/>
        <v>0</v>
      </c>
      <c r="U8" s="76">
        <f t="shared" si="7"/>
        <v>0</v>
      </c>
      <c r="V8" s="76">
        <f t="shared" si="7"/>
        <v>0</v>
      </c>
      <c r="W8" s="76">
        <f t="shared" si="7"/>
        <v>0</v>
      </c>
      <c r="X8" s="76">
        <f t="shared" si="7"/>
        <v>0</v>
      </c>
      <c r="Y8" s="76">
        <f t="shared" si="7"/>
        <v>0</v>
      </c>
      <c r="Z8" s="76">
        <f t="shared" si="7"/>
        <v>0</v>
      </c>
      <c r="AA8" s="76">
        <f t="shared" si="7"/>
        <v>0</v>
      </c>
      <c r="AB8" s="76">
        <f t="shared" si="7"/>
        <v>0</v>
      </c>
      <c r="AC8" s="76">
        <f t="shared" si="7"/>
        <v>0</v>
      </c>
      <c r="AD8" s="76">
        <f t="shared" si="7"/>
        <v>0</v>
      </c>
      <c r="AE8" s="76">
        <f t="shared" si="7"/>
        <v>0</v>
      </c>
      <c r="AF8" s="76">
        <f t="shared" si="7"/>
        <v>0</v>
      </c>
      <c r="AG8" s="76">
        <f t="shared" si="7"/>
        <v>0</v>
      </c>
      <c r="AH8" s="76">
        <f t="shared" si="7"/>
        <v>0</v>
      </c>
      <c r="AI8" s="76">
        <f t="shared" si="7"/>
        <v>0</v>
      </c>
      <c r="AJ8" s="76">
        <f t="shared" si="7"/>
        <v>0</v>
      </c>
      <c r="AK8" s="76">
        <f t="shared" si="7"/>
        <v>0</v>
      </c>
      <c r="AL8" s="76">
        <f t="shared" si="7"/>
        <v>0</v>
      </c>
      <c r="AM8" s="76">
        <f t="shared" si="7"/>
        <v>0</v>
      </c>
      <c r="AN8" s="76">
        <f t="shared" si="7"/>
        <v>0</v>
      </c>
      <c r="AO8" s="76">
        <f t="shared" si="7"/>
        <v>0</v>
      </c>
      <c r="AP8" s="76">
        <f t="shared" si="7"/>
        <v>0</v>
      </c>
      <c r="AQ8" s="76">
        <f t="shared" si="7"/>
        <v>0</v>
      </c>
      <c r="AR8" s="76">
        <f t="shared" si="7"/>
        <v>0</v>
      </c>
      <c r="AS8" s="76">
        <f t="shared" si="7"/>
        <v>0</v>
      </c>
      <c r="AT8" s="76">
        <f t="shared" si="7"/>
        <v>0</v>
      </c>
      <c r="AU8" s="76">
        <f t="shared" si="7"/>
        <v>0</v>
      </c>
      <c r="AV8" s="76">
        <f t="shared" si="7"/>
        <v>0</v>
      </c>
      <c r="AW8" s="76">
        <f t="shared" si="7"/>
        <v>0</v>
      </c>
      <c r="AX8" s="76">
        <f t="shared" si="7"/>
        <v>0</v>
      </c>
      <c r="AY8" s="76">
        <f t="shared" si="7"/>
        <v>0</v>
      </c>
      <c r="AZ8" s="76">
        <f t="shared" si="7"/>
        <v>0</v>
      </c>
      <c r="BA8" s="76">
        <f t="shared" si="7"/>
        <v>0</v>
      </c>
      <c r="BB8" s="76">
        <f t="shared" si="7"/>
        <v>0</v>
      </c>
      <c r="BC8" s="76">
        <f t="shared" si="7"/>
        <v>0</v>
      </c>
      <c r="BE8" s="76">
        <f t="shared" si="8"/>
        <v>0</v>
      </c>
      <c r="BF8" s="76">
        <f t="shared" si="9"/>
        <v>0</v>
      </c>
      <c r="BG8" s="76">
        <f t="shared" si="9"/>
        <v>0</v>
      </c>
      <c r="BH8" s="76">
        <f t="shared" si="9"/>
        <v>0</v>
      </c>
    </row>
    <row r="9" spans="2:60" ht="21" customHeight="1" x14ac:dyDescent="0.35">
      <c r="B9" s="60" t="s">
        <v>195</v>
      </c>
      <c r="C9" s="48"/>
      <c r="D9" s="48"/>
      <c r="E9" s="47"/>
      <c r="F9" s="76"/>
      <c r="G9" s="76"/>
      <c r="H9" s="76">
        <f t="shared" si="6"/>
        <v>0</v>
      </c>
      <c r="I9" s="76">
        <f t="shared" si="6"/>
        <v>0</v>
      </c>
      <c r="J9" s="76">
        <f t="shared" si="6"/>
        <v>0</v>
      </c>
      <c r="K9" s="76">
        <f t="shared" si="6"/>
        <v>0</v>
      </c>
      <c r="L9" s="76">
        <f t="shared" si="6"/>
        <v>0</v>
      </c>
      <c r="M9" s="76">
        <f t="shared" si="6"/>
        <v>0</v>
      </c>
      <c r="N9" s="76">
        <f t="shared" si="6"/>
        <v>0</v>
      </c>
      <c r="O9" s="76">
        <f t="shared" ref="O9:AQ16" si="10">IFERROR(MIN(1,MAX(0,(EOMONTH(O$4,0)+1-$C9)/(EDATE($C9,$E9)-$C9)))*$F9/12+IF(O$3=1,$G9/12,0),0)</f>
        <v>0</v>
      </c>
      <c r="P9" s="76">
        <f t="shared" si="10"/>
        <v>0</v>
      </c>
      <c r="Q9" s="76">
        <f t="shared" si="10"/>
        <v>0</v>
      </c>
      <c r="R9" s="76">
        <f t="shared" si="10"/>
        <v>0</v>
      </c>
      <c r="S9" s="76">
        <f t="shared" si="10"/>
        <v>0</v>
      </c>
      <c r="T9" s="76">
        <f t="shared" si="10"/>
        <v>0</v>
      </c>
      <c r="U9" s="76">
        <f t="shared" si="10"/>
        <v>0</v>
      </c>
      <c r="V9" s="76">
        <f t="shared" si="10"/>
        <v>0</v>
      </c>
      <c r="W9" s="76">
        <f t="shared" si="10"/>
        <v>0</v>
      </c>
      <c r="X9" s="76">
        <f t="shared" si="10"/>
        <v>0</v>
      </c>
      <c r="Y9" s="76">
        <f t="shared" si="10"/>
        <v>0</v>
      </c>
      <c r="Z9" s="76">
        <f t="shared" si="10"/>
        <v>0</v>
      </c>
      <c r="AA9" s="76">
        <f t="shared" si="10"/>
        <v>0</v>
      </c>
      <c r="AB9" s="76">
        <f t="shared" si="10"/>
        <v>0</v>
      </c>
      <c r="AC9" s="76">
        <f t="shared" si="10"/>
        <v>0</v>
      </c>
      <c r="AD9" s="76">
        <f t="shared" si="10"/>
        <v>0</v>
      </c>
      <c r="AE9" s="76">
        <f t="shared" si="10"/>
        <v>0</v>
      </c>
      <c r="AF9" s="76">
        <f t="shared" si="10"/>
        <v>0</v>
      </c>
      <c r="AG9" s="76">
        <f t="shared" si="10"/>
        <v>0</v>
      </c>
      <c r="AH9" s="76">
        <f t="shared" si="10"/>
        <v>0</v>
      </c>
      <c r="AI9" s="76">
        <f t="shared" si="10"/>
        <v>0</v>
      </c>
      <c r="AJ9" s="76">
        <f t="shared" si="10"/>
        <v>0</v>
      </c>
      <c r="AK9" s="76">
        <f t="shared" si="10"/>
        <v>0</v>
      </c>
      <c r="AL9" s="76">
        <f t="shared" si="10"/>
        <v>0</v>
      </c>
      <c r="AM9" s="76">
        <f t="shared" si="10"/>
        <v>0</v>
      </c>
      <c r="AN9" s="76">
        <f t="shared" si="10"/>
        <v>0</v>
      </c>
      <c r="AO9" s="76">
        <f t="shared" si="10"/>
        <v>0</v>
      </c>
      <c r="AP9" s="76">
        <f t="shared" si="10"/>
        <v>0</v>
      </c>
      <c r="AQ9" s="76">
        <f t="shared" si="10"/>
        <v>0</v>
      </c>
      <c r="AR9" s="76">
        <f t="shared" ref="AR9:BC15" si="11">IFERROR(MIN(1,MAX(0,(EOMONTH(AR$4,0)+1-$C9)/(EDATE($C9,$E9)-$C9)))*$F9/12+IF(AR$3=1,$G9/12,0),0)</f>
        <v>0</v>
      </c>
      <c r="AS9" s="76">
        <f t="shared" si="11"/>
        <v>0</v>
      </c>
      <c r="AT9" s="76">
        <f t="shared" si="11"/>
        <v>0</v>
      </c>
      <c r="AU9" s="76">
        <f t="shared" si="11"/>
        <v>0</v>
      </c>
      <c r="AV9" s="76">
        <f t="shared" si="11"/>
        <v>0</v>
      </c>
      <c r="AW9" s="76">
        <f t="shared" si="11"/>
        <v>0</v>
      </c>
      <c r="AX9" s="76">
        <f t="shared" si="11"/>
        <v>0</v>
      </c>
      <c r="AY9" s="76">
        <f t="shared" si="11"/>
        <v>0</v>
      </c>
      <c r="AZ9" s="76">
        <f t="shared" si="11"/>
        <v>0</v>
      </c>
      <c r="BA9" s="76">
        <f t="shared" si="11"/>
        <v>0</v>
      </c>
      <c r="BB9" s="76">
        <f t="shared" si="11"/>
        <v>0</v>
      </c>
      <c r="BC9" s="76">
        <f t="shared" si="11"/>
        <v>0</v>
      </c>
      <c r="BE9" s="76">
        <f t="shared" si="8"/>
        <v>0</v>
      </c>
      <c r="BF9" s="76">
        <f t="shared" si="9"/>
        <v>0</v>
      </c>
      <c r="BG9" s="76">
        <f t="shared" si="9"/>
        <v>0</v>
      </c>
      <c r="BH9" s="76">
        <f t="shared" si="9"/>
        <v>0</v>
      </c>
    </row>
    <row r="10" spans="2:60" ht="21" customHeight="1" x14ac:dyDescent="0.35">
      <c r="B10" s="60" t="s">
        <v>37</v>
      </c>
      <c r="C10" s="48">
        <f>'Call Management'!C7</f>
        <v>43678</v>
      </c>
      <c r="D10" s="48"/>
      <c r="E10" s="47">
        <f>'Call Management'!C8</f>
        <v>1</v>
      </c>
      <c r="F10" s="76"/>
      <c r="G10" s="76"/>
      <c r="H10" s="76">
        <f t="shared" si="6"/>
        <v>0</v>
      </c>
      <c r="I10" s="76">
        <f t="shared" si="6"/>
        <v>0</v>
      </c>
      <c r="J10" s="76">
        <f t="shared" si="6"/>
        <v>0</v>
      </c>
      <c r="K10" s="76">
        <f t="shared" si="6"/>
        <v>0</v>
      </c>
      <c r="L10" s="76">
        <f t="shared" si="6"/>
        <v>0</v>
      </c>
      <c r="M10" s="76">
        <f t="shared" si="6"/>
        <v>0</v>
      </c>
      <c r="N10" s="76">
        <f t="shared" si="6"/>
        <v>0</v>
      </c>
      <c r="O10" s="76">
        <f t="shared" si="10"/>
        <v>0</v>
      </c>
      <c r="P10" s="76">
        <f t="shared" si="10"/>
        <v>0</v>
      </c>
      <c r="Q10" s="76">
        <f t="shared" si="10"/>
        <v>0</v>
      </c>
      <c r="R10" s="76">
        <f t="shared" si="10"/>
        <v>0</v>
      </c>
      <c r="S10" s="76">
        <f t="shared" si="10"/>
        <v>0</v>
      </c>
      <c r="T10" s="76">
        <f t="shared" si="10"/>
        <v>0</v>
      </c>
      <c r="U10" s="76">
        <f t="shared" si="10"/>
        <v>0</v>
      </c>
      <c r="V10" s="76">
        <f t="shared" si="10"/>
        <v>0</v>
      </c>
      <c r="W10" s="76">
        <f t="shared" si="10"/>
        <v>0</v>
      </c>
      <c r="X10" s="76">
        <f t="shared" si="10"/>
        <v>0</v>
      </c>
      <c r="Y10" s="76">
        <f t="shared" si="10"/>
        <v>0</v>
      </c>
      <c r="Z10" s="76">
        <f t="shared" si="10"/>
        <v>0</v>
      </c>
      <c r="AA10" s="76">
        <f t="shared" si="10"/>
        <v>0</v>
      </c>
      <c r="AB10" s="76">
        <f t="shared" si="10"/>
        <v>0</v>
      </c>
      <c r="AC10" s="76">
        <f t="shared" si="10"/>
        <v>0</v>
      </c>
      <c r="AD10" s="76">
        <f t="shared" si="10"/>
        <v>0</v>
      </c>
      <c r="AE10" s="76">
        <f t="shared" si="10"/>
        <v>0</v>
      </c>
      <c r="AF10" s="76">
        <f t="shared" si="10"/>
        <v>0</v>
      </c>
      <c r="AG10" s="76">
        <f t="shared" si="10"/>
        <v>0</v>
      </c>
      <c r="AH10" s="76">
        <f t="shared" si="10"/>
        <v>0</v>
      </c>
      <c r="AI10" s="76">
        <f t="shared" si="10"/>
        <v>0</v>
      </c>
      <c r="AJ10" s="76">
        <f t="shared" si="10"/>
        <v>0</v>
      </c>
      <c r="AK10" s="76">
        <f t="shared" si="10"/>
        <v>0</v>
      </c>
      <c r="AL10" s="76">
        <f t="shared" si="10"/>
        <v>0</v>
      </c>
      <c r="AM10" s="76">
        <f t="shared" si="10"/>
        <v>0</v>
      </c>
      <c r="AN10" s="76">
        <f t="shared" si="10"/>
        <v>0</v>
      </c>
      <c r="AO10" s="76">
        <f t="shared" si="10"/>
        <v>0</v>
      </c>
      <c r="AP10" s="76">
        <f t="shared" si="10"/>
        <v>0</v>
      </c>
      <c r="AQ10" s="76">
        <f t="shared" si="10"/>
        <v>0</v>
      </c>
      <c r="AR10" s="76">
        <f t="shared" si="11"/>
        <v>0</v>
      </c>
      <c r="AS10" s="76">
        <f t="shared" si="11"/>
        <v>0</v>
      </c>
      <c r="AT10" s="76">
        <f t="shared" si="11"/>
        <v>0</v>
      </c>
      <c r="AU10" s="76">
        <f t="shared" si="11"/>
        <v>0</v>
      </c>
      <c r="AV10" s="76">
        <f t="shared" si="11"/>
        <v>0</v>
      </c>
      <c r="AW10" s="76">
        <f t="shared" si="11"/>
        <v>0</v>
      </c>
      <c r="AX10" s="76">
        <f t="shared" si="11"/>
        <v>0</v>
      </c>
      <c r="AY10" s="76">
        <f t="shared" si="11"/>
        <v>0</v>
      </c>
      <c r="AZ10" s="76">
        <f t="shared" si="11"/>
        <v>0</v>
      </c>
      <c r="BA10" s="76">
        <f t="shared" si="11"/>
        <v>0</v>
      </c>
      <c r="BB10" s="76">
        <f t="shared" si="11"/>
        <v>0</v>
      </c>
      <c r="BC10" s="76">
        <f t="shared" si="11"/>
        <v>0</v>
      </c>
      <c r="BE10" s="76">
        <f t="shared" si="8"/>
        <v>0</v>
      </c>
      <c r="BF10" s="76">
        <f t="shared" si="9"/>
        <v>0</v>
      </c>
      <c r="BG10" s="76">
        <f t="shared" si="9"/>
        <v>0</v>
      </c>
      <c r="BH10" s="76">
        <f t="shared" si="9"/>
        <v>0</v>
      </c>
    </row>
    <row r="11" spans="2:60" ht="21" customHeight="1" x14ac:dyDescent="0.35">
      <c r="B11" s="60" t="s">
        <v>82</v>
      </c>
      <c r="C11" s="48">
        <f>'GP Triage'!$C$3</f>
        <v>43739</v>
      </c>
      <c r="D11" s="48"/>
      <c r="E11" s="47">
        <f>'GP Triage'!$C$4</f>
        <v>3</v>
      </c>
      <c r="F11" s="76">
        <f>'GP Triage'!C39</f>
        <v>-28429.982608695645</v>
      </c>
      <c r="G11" s="76"/>
      <c r="H11" s="76">
        <f t="shared" ref="H11:N11" si="12">IFERROR(MIN(1,MAX(0,(EOMONTH(H$4,0)+1-$C11)/(EDATE($C11,$E11)-$C11)))*$F11/12+IF(H$3=1,$G11/12,0),0)</f>
        <v>0</v>
      </c>
      <c r="I11" s="76">
        <f t="shared" si="12"/>
        <v>0</v>
      </c>
      <c r="J11" s="76">
        <f t="shared" si="12"/>
        <v>-798.30567107750448</v>
      </c>
      <c r="K11" s="76">
        <f t="shared" si="12"/>
        <v>-1570.859546313799</v>
      </c>
      <c r="L11" s="76">
        <f t="shared" si="12"/>
        <v>-2369.1652173913039</v>
      </c>
      <c r="M11" s="76">
        <f t="shared" si="12"/>
        <v>-2369.1652173913039</v>
      </c>
      <c r="N11" s="76">
        <f t="shared" si="12"/>
        <v>-2369.1652173913039</v>
      </c>
      <c r="O11" s="76">
        <f t="shared" si="10"/>
        <v>-2369.1652173913039</v>
      </c>
      <c r="P11" s="76">
        <f t="shared" ref="P11:U11" si="13">IFERROR(MIN(1,MAX(0,(EOMONTH(P$4,0)+1-$C11)/(EDATE($C11,$E11)-$C11)))*$F11/12+IF(P$3=1,$G11/12,0),0)</f>
        <v>-2369.1652173913039</v>
      </c>
      <c r="Q11" s="76">
        <f t="shared" si="13"/>
        <v>-2369.1652173913039</v>
      </c>
      <c r="R11" s="76">
        <f t="shared" si="13"/>
        <v>-2369.1652173913039</v>
      </c>
      <c r="S11" s="76">
        <f t="shared" si="13"/>
        <v>-2369.1652173913039</v>
      </c>
      <c r="T11" s="76">
        <f t="shared" si="13"/>
        <v>-2369.1652173913039</v>
      </c>
      <c r="U11" s="76">
        <f t="shared" si="13"/>
        <v>-2369.1652173913039</v>
      </c>
      <c r="V11" s="76">
        <f t="shared" si="10"/>
        <v>-2369.1652173913039</v>
      </c>
      <c r="W11" s="76">
        <f>IFERROR(MIN(1,MAX(0,(EOMONTH(W$4,0)+1-$C11)/(EDATE($C11,$E11)-$C11)))*$F11/12+IF(W$3=1,$G11/12,0),0)</f>
        <v>-2369.1652173913039</v>
      </c>
      <c r="X11" s="76">
        <f>IFERROR(MIN(1,MAX(0,(EOMONTH(X$4,0)+1-$C11)/(EDATE($C11,$E11)-$C11)))*$F11/12+IF(X$3=1,$G11/12,0),0)</f>
        <v>-2369.1652173913039</v>
      </c>
      <c r="Y11" s="76">
        <f t="shared" si="10"/>
        <v>-2369.1652173913039</v>
      </c>
      <c r="Z11" s="76">
        <f t="shared" si="10"/>
        <v>-2369.1652173913039</v>
      </c>
      <c r="AA11" s="76">
        <f t="shared" si="10"/>
        <v>-2369.1652173913039</v>
      </c>
      <c r="AB11" s="76">
        <f t="shared" si="10"/>
        <v>-2369.1652173913039</v>
      </c>
      <c r="AC11" s="76">
        <f t="shared" si="10"/>
        <v>-2369.1652173913039</v>
      </c>
      <c r="AD11" s="76">
        <f t="shared" si="10"/>
        <v>-2369.1652173913039</v>
      </c>
      <c r="AE11" s="76">
        <f t="shared" si="10"/>
        <v>-2369.1652173913039</v>
      </c>
      <c r="AF11" s="76">
        <f t="shared" si="10"/>
        <v>-2369.1652173913039</v>
      </c>
      <c r="AG11" s="76">
        <f t="shared" si="10"/>
        <v>-2369.1652173913039</v>
      </c>
      <c r="AH11" s="76">
        <f t="shared" si="10"/>
        <v>-2369.1652173913039</v>
      </c>
      <c r="AI11" s="76">
        <f t="shared" si="10"/>
        <v>-2369.1652173913039</v>
      </c>
      <c r="AJ11" s="76">
        <f t="shared" si="10"/>
        <v>-2369.1652173913039</v>
      </c>
      <c r="AK11" s="76">
        <f t="shared" si="10"/>
        <v>-2369.1652173913039</v>
      </c>
      <c r="AL11" s="76">
        <f t="shared" si="10"/>
        <v>-2369.1652173913039</v>
      </c>
      <c r="AM11" s="76">
        <f t="shared" si="10"/>
        <v>-2369.1652173913039</v>
      </c>
      <c r="AN11" s="76">
        <f t="shared" si="10"/>
        <v>-2369.1652173913039</v>
      </c>
      <c r="AO11" s="76">
        <f t="shared" si="10"/>
        <v>-2369.1652173913039</v>
      </c>
      <c r="AP11" s="76">
        <f t="shared" si="10"/>
        <v>-2369.1652173913039</v>
      </c>
      <c r="AQ11" s="76">
        <f t="shared" si="10"/>
        <v>-2369.1652173913039</v>
      </c>
      <c r="AR11" s="76">
        <f t="shared" si="11"/>
        <v>-2369.1652173913039</v>
      </c>
      <c r="AS11" s="76">
        <f t="shared" si="11"/>
        <v>-2369.1652173913039</v>
      </c>
      <c r="AT11" s="76">
        <f t="shared" si="11"/>
        <v>-2369.1652173913039</v>
      </c>
      <c r="AU11" s="76">
        <f t="shared" si="11"/>
        <v>-2369.1652173913039</v>
      </c>
      <c r="AV11" s="76">
        <f t="shared" si="11"/>
        <v>-2369.1652173913039</v>
      </c>
      <c r="AW11" s="76">
        <f t="shared" si="11"/>
        <v>-2369.1652173913039</v>
      </c>
      <c r="AX11" s="76">
        <f t="shared" si="11"/>
        <v>-2369.1652173913039</v>
      </c>
      <c r="AY11" s="76">
        <f t="shared" si="11"/>
        <v>-2369.1652173913039</v>
      </c>
      <c r="AZ11" s="76">
        <f t="shared" si="11"/>
        <v>-2369.1652173913039</v>
      </c>
      <c r="BA11" s="76">
        <f t="shared" si="11"/>
        <v>-2369.1652173913039</v>
      </c>
      <c r="BB11" s="76">
        <f t="shared" si="11"/>
        <v>-2369.1652173913039</v>
      </c>
      <c r="BC11" s="76">
        <f t="shared" si="11"/>
        <v>-2369.1652173913039</v>
      </c>
      <c r="BE11" s="76">
        <f t="shared" si="8"/>
        <v>-21322.486956521734</v>
      </c>
      <c r="BF11" s="76">
        <f t="shared" si="9"/>
        <v>-28429.982608695642</v>
      </c>
      <c r="BG11" s="76">
        <f t="shared" si="9"/>
        <v>-28429.982608695642</v>
      </c>
      <c r="BH11" s="76">
        <f t="shared" si="9"/>
        <v>-28429.982608695642</v>
      </c>
    </row>
    <row r="12" spans="2:60" ht="21" customHeight="1" x14ac:dyDescent="0.35">
      <c r="B12" s="60" t="s">
        <v>254</v>
      </c>
      <c r="C12" s="48">
        <f>YOC!C12</f>
        <v>43862</v>
      </c>
      <c r="D12" s="48"/>
      <c r="E12" s="47">
        <f>YOC!C13</f>
        <v>36</v>
      </c>
      <c r="F12" s="76">
        <f>IF(YOC_Include="Yes",YOC!F54,0)</f>
        <v>18833.333333333332</v>
      </c>
      <c r="G12" s="76"/>
      <c r="H12" s="76">
        <f t="shared" ref="H12:H22" si="14">IFERROR(MIN(1,MAX(0,(EOMONTH(H$4,0)+1-$C12)/(EDATE($C12,$E12)-$C12)))*$F12/12+IF(H$3=1,$G12/12,0),0)</f>
        <v>0</v>
      </c>
      <c r="I12" s="76">
        <f t="shared" ref="I12:N22" si="15">IFERROR(MIN(1,MAX(0,(EOMONTH(I$4,0)+1-$C12)/(EDATE($C12,$E12)-$C12)))*$F12/12+IF(I$3=1,$G12/12,0),0)</f>
        <v>0</v>
      </c>
      <c r="J12" s="76">
        <f t="shared" si="15"/>
        <v>0</v>
      </c>
      <c r="K12" s="76">
        <f t="shared" si="15"/>
        <v>0</v>
      </c>
      <c r="L12" s="76">
        <f t="shared" si="15"/>
        <v>0</v>
      </c>
      <c r="M12" s="76">
        <f t="shared" si="15"/>
        <v>0</v>
      </c>
      <c r="N12" s="76">
        <f t="shared" si="15"/>
        <v>41.527270884022705</v>
      </c>
      <c r="O12" s="76">
        <f t="shared" si="10"/>
        <v>85.918491484184912</v>
      </c>
      <c r="P12" s="76">
        <f t="shared" si="10"/>
        <v>128.87773722627736</v>
      </c>
      <c r="Q12" s="76">
        <f t="shared" si="10"/>
        <v>173.26895782643956</v>
      </c>
      <c r="R12" s="76">
        <f t="shared" si="10"/>
        <v>216.22820356853205</v>
      </c>
      <c r="S12" s="76">
        <f t="shared" si="10"/>
        <v>260.6194241686942</v>
      </c>
      <c r="T12" s="76">
        <f t="shared" si="10"/>
        <v>305.01064476885642</v>
      </c>
      <c r="U12" s="76">
        <f t="shared" si="10"/>
        <v>347.96989051094891</v>
      </c>
      <c r="V12" s="76">
        <f t="shared" si="10"/>
        <v>392.36111111111109</v>
      </c>
      <c r="W12" s="76">
        <f t="shared" si="10"/>
        <v>435.32035685320352</v>
      </c>
      <c r="X12" s="76">
        <f t="shared" si="10"/>
        <v>479.71157745336569</v>
      </c>
      <c r="Y12" s="76">
        <f t="shared" si="10"/>
        <v>524.10279805352798</v>
      </c>
      <c r="Z12" s="76">
        <f t="shared" si="10"/>
        <v>564.19809407948094</v>
      </c>
      <c r="AA12" s="76">
        <f t="shared" si="10"/>
        <v>608.58931467964305</v>
      </c>
      <c r="AB12" s="76">
        <f t="shared" si="10"/>
        <v>651.5485604217356</v>
      </c>
      <c r="AC12" s="76">
        <f t="shared" si="10"/>
        <v>695.93978102189783</v>
      </c>
      <c r="AD12" s="76">
        <f t="shared" si="10"/>
        <v>738.89902676399015</v>
      </c>
      <c r="AE12" s="76">
        <f t="shared" si="10"/>
        <v>783.29024736415249</v>
      </c>
      <c r="AF12" s="76">
        <f t="shared" si="10"/>
        <v>827.68146796431472</v>
      </c>
      <c r="AG12" s="76">
        <f t="shared" si="10"/>
        <v>870.64071370640704</v>
      </c>
      <c r="AH12" s="76">
        <f t="shared" si="10"/>
        <v>915.03193430656938</v>
      </c>
      <c r="AI12" s="76">
        <f t="shared" si="10"/>
        <v>957.9911800486617</v>
      </c>
      <c r="AJ12" s="76">
        <f t="shared" si="10"/>
        <v>1002.382400648824</v>
      </c>
      <c r="AK12" s="76">
        <f t="shared" si="10"/>
        <v>1046.773621248986</v>
      </c>
      <c r="AL12" s="76">
        <f t="shared" si="10"/>
        <v>1086.8689172749391</v>
      </c>
      <c r="AM12" s="76">
        <f t="shared" si="10"/>
        <v>1131.2601378751012</v>
      </c>
      <c r="AN12" s="76">
        <f t="shared" si="10"/>
        <v>1174.2193836171939</v>
      </c>
      <c r="AO12" s="76">
        <f t="shared" si="10"/>
        <v>1218.6106042173558</v>
      </c>
      <c r="AP12" s="76">
        <f t="shared" si="10"/>
        <v>1261.5698499594484</v>
      </c>
      <c r="AQ12" s="76">
        <f t="shared" si="10"/>
        <v>1305.9610705596106</v>
      </c>
      <c r="AR12" s="76">
        <f t="shared" si="11"/>
        <v>1350.3522911597729</v>
      </c>
      <c r="AS12" s="76">
        <f t="shared" si="11"/>
        <v>1393.3115369018653</v>
      </c>
      <c r="AT12" s="76">
        <f t="shared" si="11"/>
        <v>1437.7027575020275</v>
      </c>
      <c r="AU12" s="76">
        <f t="shared" si="11"/>
        <v>1480.6620032441199</v>
      </c>
      <c r="AV12" s="76">
        <f t="shared" si="11"/>
        <v>1525.053223844282</v>
      </c>
      <c r="AW12" s="76">
        <f t="shared" si="11"/>
        <v>1569.4444444444443</v>
      </c>
      <c r="AX12" s="76">
        <f t="shared" si="11"/>
        <v>1569.4444444444443</v>
      </c>
      <c r="AY12" s="76">
        <f t="shared" si="11"/>
        <v>1569.4444444444443</v>
      </c>
      <c r="AZ12" s="76">
        <f t="shared" si="11"/>
        <v>1569.4444444444443</v>
      </c>
      <c r="BA12" s="76">
        <f t="shared" si="11"/>
        <v>1569.4444444444443</v>
      </c>
      <c r="BB12" s="76">
        <f t="shared" si="11"/>
        <v>1569.4444444444443</v>
      </c>
      <c r="BC12" s="76">
        <f t="shared" si="11"/>
        <v>1569.4444444444443</v>
      </c>
      <c r="BE12" s="76">
        <f t="shared" si="8"/>
        <v>906.44008515815085</v>
      </c>
      <c r="BF12" s="76">
        <f t="shared" si="9"/>
        <v>6526.9414030819134</v>
      </c>
      <c r="BG12" s="76">
        <f t="shared" si="9"/>
        <v>12798.991281427414</v>
      </c>
      <c r="BH12" s="76">
        <f t="shared" si="9"/>
        <v>18173.192923763181</v>
      </c>
    </row>
    <row r="13" spans="2:60" ht="21" customHeight="1" x14ac:dyDescent="0.35">
      <c r="B13" s="60" t="s">
        <v>109</v>
      </c>
      <c r="C13" s="48">
        <f>'Extended Hours'!C11</f>
        <v>44013</v>
      </c>
      <c r="D13" s="48"/>
      <c r="E13" s="47">
        <f>'Extended Hours'!C12</f>
        <v>1</v>
      </c>
      <c r="F13" s="76"/>
      <c r="G13" s="76"/>
      <c r="H13" s="76">
        <f t="shared" si="14"/>
        <v>0</v>
      </c>
      <c r="I13" s="76">
        <f t="shared" si="15"/>
        <v>0</v>
      </c>
      <c r="J13" s="76">
        <f t="shared" si="15"/>
        <v>0</v>
      </c>
      <c r="K13" s="76">
        <f t="shared" si="15"/>
        <v>0</v>
      </c>
      <c r="L13" s="76">
        <f t="shared" si="15"/>
        <v>0</v>
      </c>
      <c r="M13" s="76">
        <f t="shared" si="15"/>
        <v>0</v>
      </c>
      <c r="N13" s="76">
        <f t="shared" si="15"/>
        <v>0</v>
      </c>
      <c r="O13" s="76">
        <f t="shared" si="10"/>
        <v>0</v>
      </c>
      <c r="P13" s="76">
        <f t="shared" si="10"/>
        <v>0</v>
      </c>
      <c r="Q13" s="76">
        <f t="shared" si="10"/>
        <v>0</v>
      </c>
      <c r="R13" s="76">
        <f t="shared" si="10"/>
        <v>0</v>
      </c>
      <c r="S13" s="76">
        <f t="shared" si="10"/>
        <v>0</v>
      </c>
      <c r="T13" s="76">
        <f t="shared" si="10"/>
        <v>0</v>
      </c>
      <c r="U13" s="76">
        <f t="shared" si="10"/>
        <v>0</v>
      </c>
      <c r="V13" s="76">
        <f t="shared" si="10"/>
        <v>0</v>
      </c>
      <c r="W13" s="76">
        <f t="shared" si="10"/>
        <v>0</v>
      </c>
      <c r="X13" s="76">
        <f t="shared" si="10"/>
        <v>0</v>
      </c>
      <c r="Y13" s="76">
        <f t="shared" si="10"/>
        <v>0</v>
      </c>
      <c r="Z13" s="76">
        <f t="shared" si="10"/>
        <v>0</v>
      </c>
      <c r="AA13" s="76">
        <f t="shared" si="10"/>
        <v>0</v>
      </c>
      <c r="AB13" s="76">
        <f t="shared" si="10"/>
        <v>0</v>
      </c>
      <c r="AC13" s="76">
        <f t="shared" si="10"/>
        <v>0</v>
      </c>
      <c r="AD13" s="76">
        <f t="shared" si="10"/>
        <v>0</v>
      </c>
      <c r="AE13" s="76">
        <f t="shared" si="10"/>
        <v>0</v>
      </c>
      <c r="AF13" s="76">
        <f t="shared" si="10"/>
        <v>0</v>
      </c>
      <c r="AG13" s="76">
        <f t="shared" si="10"/>
        <v>0</v>
      </c>
      <c r="AH13" s="76">
        <f t="shared" si="10"/>
        <v>0</v>
      </c>
      <c r="AI13" s="76">
        <f t="shared" si="10"/>
        <v>0</v>
      </c>
      <c r="AJ13" s="76">
        <f t="shared" si="10"/>
        <v>0</v>
      </c>
      <c r="AK13" s="76">
        <f t="shared" si="10"/>
        <v>0</v>
      </c>
      <c r="AL13" s="76">
        <f t="shared" si="10"/>
        <v>0</v>
      </c>
      <c r="AM13" s="76">
        <f t="shared" si="10"/>
        <v>0</v>
      </c>
      <c r="AN13" s="76">
        <f t="shared" si="10"/>
        <v>0</v>
      </c>
      <c r="AO13" s="76">
        <f t="shared" si="10"/>
        <v>0</v>
      </c>
      <c r="AP13" s="76">
        <f t="shared" si="10"/>
        <v>0</v>
      </c>
      <c r="AQ13" s="76">
        <f t="shared" si="10"/>
        <v>0</v>
      </c>
      <c r="AR13" s="76">
        <f t="shared" si="11"/>
        <v>0</v>
      </c>
      <c r="AS13" s="76">
        <f t="shared" si="11"/>
        <v>0</v>
      </c>
      <c r="AT13" s="76">
        <f t="shared" si="11"/>
        <v>0</v>
      </c>
      <c r="AU13" s="76">
        <f t="shared" si="11"/>
        <v>0</v>
      </c>
      <c r="AV13" s="76">
        <f t="shared" si="11"/>
        <v>0</v>
      </c>
      <c r="AW13" s="76">
        <f t="shared" si="11"/>
        <v>0</v>
      </c>
      <c r="AX13" s="76">
        <f t="shared" si="11"/>
        <v>0</v>
      </c>
      <c r="AY13" s="76">
        <f t="shared" si="11"/>
        <v>0</v>
      </c>
      <c r="AZ13" s="76">
        <f t="shared" si="11"/>
        <v>0</v>
      </c>
      <c r="BA13" s="76">
        <f t="shared" si="11"/>
        <v>0</v>
      </c>
      <c r="BB13" s="76">
        <f t="shared" si="11"/>
        <v>0</v>
      </c>
      <c r="BC13" s="76">
        <f t="shared" si="11"/>
        <v>0</v>
      </c>
      <c r="BE13" s="76">
        <f t="shared" si="8"/>
        <v>0</v>
      </c>
      <c r="BF13" s="76">
        <f t="shared" si="9"/>
        <v>0</v>
      </c>
      <c r="BG13" s="76">
        <f t="shared" si="9"/>
        <v>0</v>
      </c>
      <c r="BH13" s="76">
        <f t="shared" si="9"/>
        <v>0</v>
      </c>
    </row>
    <row r="14" spans="2:60" ht="21" customHeight="1" x14ac:dyDescent="0.35">
      <c r="B14" s="60" t="s">
        <v>196</v>
      </c>
      <c r="C14" s="48"/>
      <c r="D14" s="48"/>
      <c r="E14" s="47"/>
      <c r="F14" s="76"/>
      <c r="G14" s="76"/>
      <c r="H14" s="76">
        <f t="shared" si="14"/>
        <v>0</v>
      </c>
      <c r="I14" s="76">
        <f t="shared" si="15"/>
        <v>0</v>
      </c>
      <c r="J14" s="76">
        <f t="shared" si="15"/>
        <v>0</v>
      </c>
      <c r="K14" s="76">
        <f t="shared" si="15"/>
        <v>0</v>
      </c>
      <c r="L14" s="76">
        <f t="shared" si="15"/>
        <v>0</v>
      </c>
      <c r="M14" s="76">
        <f t="shared" si="15"/>
        <v>0</v>
      </c>
      <c r="N14" s="76">
        <f t="shared" si="15"/>
        <v>0</v>
      </c>
      <c r="O14" s="76">
        <f t="shared" si="10"/>
        <v>0</v>
      </c>
      <c r="P14" s="76">
        <f t="shared" si="10"/>
        <v>0</v>
      </c>
      <c r="Q14" s="76">
        <f t="shared" si="10"/>
        <v>0</v>
      </c>
      <c r="R14" s="76">
        <f t="shared" si="10"/>
        <v>0</v>
      </c>
      <c r="S14" s="76">
        <f t="shared" si="10"/>
        <v>0</v>
      </c>
      <c r="T14" s="76">
        <f t="shared" si="10"/>
        <v>0</v>
      </c>
      <c r="U14" s="76">
        <f t="shared" si="10"/>
        <v>0</v>
      </c>
      <c r="V14" s="76">
        <f t="shared" si="10"/>
        <v>0</v>
      </c>
      <c r="W14" s="76">
        <f t="shared" si="10"/>
        <v>0</v>
      </c>
      <c r="X14" s="76">
        <f t="shared" si="10"/>
        <v>0</v>
      </c>
      <c r="Y14" s="76">
        <f t="shared" si="10"/>
        <v>0</v>
      </c>
      <c r="Z14" s="76">
        <f t="shared" si="10"/>
        <v>0</v>
      </c>
      <c r="AA14" s="76">
        <f t="shared" si="10"/>
        <v>0</v>
      </c>
      <c r="AB14" s="76">
        <f t="shared" si="10"/>
        <v>0</v>
      </c>
      <c r="AC14" s="76">
        <f t="shared" si="10"/>
        <v>0</v>
      </c>
      <c r="AD14" s="76">
        <f t="shared" si="10"/>
        <v>0</v>
      </c>
      <c r="AE14" s="76">
        <f t="shared" si="10"/>
        <v>0</v>
      </c>
      <c r="AF14" s="76">
        <f t="shared" si="10"/>
        <v>0</v>
      </c>
      <c r="AG14" s="76">
        <f t="shared" si="10"/>
        <v>0</v>
      </c>
      <c r="AH14" s="76">
        <f t="shared" si="10"/>
        <v>0</v>
      </c>
      <c r="AI14" s="76">
        <f t="shared" si="10"/>
        <v>0</v>
      </c>
      <c r="AJ14" s="76">
        <f t="shared" si="10"/>
        <v>0</v>
      </c>
      <c r="AK14" s="76">
        <f t="shared" si="10"/>
        <v>0</v>
      </c>
      <c r="AL14" s="76">
        <f t="shared" si="10"/>
        <v>0</v>
      </c>
      <c r="AM14" s="76">
        <f t="shared" si="10"/>
        <v>0</v>
      </c>
      <c r="AN14" s="76">
        <f t="shared" si="10"/>
        <v>0</v>
      </c>
      <c r="AO14" s="76">
        <f t="shared" si="10"/>
        <v>0</v>
      </c>
      <c r="AP14" s="76">
        <f t="shared" si="10"/>
        <v>0</v>
      </c>
      <c r="AQ14" s="76">
        <f t="shared" si="10"/>
        <v>0</v>
      </c>
      <c r="AR14" s="76">
        <f t="shared" si="11"/>
        <v>0</v>
      </c>
      <c r="AS14" s="76">
        <f t="shared" si="11"/>
        <v>0</v>
      </c>
      <c r="AT14" s="76">
        <f t="shared" si="11"/>
        <v>0</v>
      </c>
      <c r="AU14" s="76">
        <f t="shared" si="11"/>
        <v>0</v>
      </c>
      <c r="AV14" s="76">
        <f t="shared" si="11"/>
        <v>0</v>
      </c>
      <c r="AW14" s="76">
        <f t="shared" si="11"/>
        <v>0</v>
      </c>
      <c r="AX14" s="76">
        <f t="shared" si="11"/>
        <v>0</v>
      </c>
      <c r="AY14" s="76">
        <f t="shared" si="11"/>
        <v>0</v>
      </c>
      <c r="AZ14" s="76">
        <f t="shared" si="11"/>
        <v>0</v>
      </c>
      <c r="BA14" s="76">
        <f t="shared" si="11"/>
        <v>0</v>
      </c>
      <c r="BB14" s="76">
        <f t="shared" si="11"/>
        <v>0</v>
      </c>
      <c r="BC14" s="76">
        <f t="shared" si="11"/>
        <v>0</v>
      </c>
      <c r="BE14" s="76">
        <f t="shared" si="8"/>
        <v>0</v>
      </c>
      <c r="BF14" s="76">
        <f t="shared" si="9"/>
        <v>0</v>
      </c>
      <c r="BG14" s="76">
        <f t="shared" si="9"/>
        <v>0</v>
      </c>
      <c r="BH14" s="76">
        <f t="shared" si="9"/>
        <v>0</v>
      </c>
    </row>
    <row r="15" spans="2:60" ht="21" customHeight="1" x14ac:dyDescent="0.35">
      <c r="B15" s="60" t="s">
        <v>197</v>
      </c>
      <c r="C15" s="48"/>
      <c r="D15" s="48"/>
      <c r="E15" s="47"/>
      <c r="F15" s="76"/>
      <c r="G15" s="76"/>
      <c r="H15" s="76">
        <f t="shared" si="14"/>
        <v>0</v>
      </c>
      <c r="I15" s="76">
        <f t="shared" si="15"/>
        <v>0</v>
      </c>
      <c r="J15" s="76">
        <f t="shared" si="15"/>
        <v>0</v>
      </c>
      <c r="K15" s="76">
        <f t="shared" si="15"/>
        <v>0</v>
      </c>
      <c r="L15" s="76">
        <f t="shared" si="15"/>
        <v>0</v>
      </c>
      <c r="M15" s="76">
        <f t="shared" si="15"/>
        <v>0</v>
      </c>
      <c r="N15" s="76">
        <f t="shared" si="15"/>
        <v>0</v>
      </c>
      <c r="O15" s="76">
        <f t="shared" si="10"/>
        <v>0</v>
      </c>
      <c r="P15" s="76">
        <f t="shared" si="10"/>
        <v>0</v>
      </c>
      <c r="Q15" s="76">
        <f t="shared" si="10"/>
        <v>0</v>
      </c>
      <c r="R15" s="76">
        <f t="shared" si="10"/>
        <v>0</v>
      </c>
      <c r="S15" s="76">
        <f t="shared" si="10"/>
        <v>0</v>
      </c>
      <c r="T15" s="76">
        <f t="shared" si="10"/>
        <v>0</v>
      </c>
      <c r="U15" s="76">
        <f t="shared" si="10"/>
        <v>0</v>
      </c>
      <c r="V15" s="76">
        <f t="shared" si="10"/>
        <v>0</v>
      </c>
      <c r="W15" s="76">
        <f t="shared" si="10"/>
        <v>0</v>
      </c>
      <c r="X15" s="76">
        <f t="shared" si="10"/>
        <v>0</v>
      </c>
      <c r="Y15" s="76">
        <f t="shared" si="10"/>
        <v>0</v>
      </c>
      <c r="Z15" s="76">
        <f t="shared" si="10"/>
        <v>0</v>
      </c>
      <c r="AA15" s="76">
        <f t="shared" si="10"/>
        <v>0</v>
      </c>
      <c r="AB15" s="76">
        <f t="shared" si="10"/>
        <v>0</v>
      </c>
      <c r="AC15" s="76">
        <f t="shared" si="10"/>
        <v>0</v>
      </c>
      <c r="AD15" s="76">
        <f t="shared" si="10"/>
        <v>0</v>
      </c>
      <c r="AE15" s="76">
        <f t="shared" si="10"/>
        <v>0</v>
      </c>
      <c r="AF15" s="76">
        <f t="shared" si="10"/>
        <v>0</v>
      </c>
      <c r="AG15" s="76">
        <f t="shared" si="10"/>
        <v>0</v>
      </c>
      <c r="AH15" s="76">
        <f t="shared" si="10"/>
        <v>0</v>
      </c>
      <c r="AI15" s="76">
        <f t="shared" si="10"/>
        <v>0</v>
      </c>
      <c r="AJ15" s="76">
        <f t="shared" si="10"/>
        <v>0</v>
      </c>
      <c r="AK15" s="76">
        <f t="shared" si="10"/>
        <v>0</v>
      </c>
      <c r="AL15" s="76">
        <f t="shared" si="10"/>
        <v>0</v>
      </c>
      <c r="AM15" s="76">
        <f t="shared" si="10"/>
        <v>0</v>
      </c>
      <c r="AN15" s="76">
        <f t="shared" si="10"/>
        <v>0</v>
      </c>
      <c r="AO15" s="76">
        <f t="shared" si="10"/>
        <v>0</v>
      </c>
      <c r="AP15" s="76">
        <f t="shared" si="10"/>
        <v>0</v>
      </c>
      <c r="AQ15" s="76">
        <f t="shared" si="10"/>
        <v>0</v>
      </c>
      <c r="AR15" s="76">
        <f t="shared" si="11"/>
        <v>0</v>
      </c>
      <c r="AS15" s="76">
        <f t="shared" si="11"/>
        <v>0</v>
      </c>
      <c r="AT15" s="76">
        <f t="shared" si="11"/>
        <v>0</v>
      </c>
      <c r="AU15" s="76">
        <f t="shared" si="11"/>
        <v>0</v>
      </c>
      <c r="AV15" s="76">
        <f t="shared" si="11"/>
        <v>0</v>
      </c>
      <c r="AW15" s="76">
        <f t="shared" si="11"/>
        <v>0</v>
      </c>
      <c r="AX15" s="76">
        <f t="shared" si="11"/>
        <v>0</v>
      </c>
      <c r="AY15" s="76">
        <f t="shared" si="11"/>
        <v>0</v>
      </c>
      <c r="AZ15" s="76">
        <f t="shared" si="11"/>
        <v>0</v>
      </c>
      <c r="BA15" s="76">
        <f t="shared" si="11"/>
        <v>0</v>
      </c>
      <c r="BB15" s="76">
        <f t="shared" si="11"/>
        <v>0</v>
      </c>
      <c r="BC15" s="76">
        <f t="shared" si="11"/>
        <v>0</v>
      </c>
      <c r="BE15" s="76">
        <f t="shared" si="8"/>
        <v>0</v>
      </c>
      <c r="BF15" s="76">
        <f t="shared" si="9"/>
        <v>0</v>
      </c>
      <c r="BG15" s="76">
        <f t="shared" si="9"/>
        <v>0</v>
      </c>
      <c r="BH15" s="76">
        <f t="shared" si="9"/>
        <v>0</v>
      </c>
    </row>
    <row r="16" spans="2:60" ht="21" customHeight="1" x14ac:dyDescent="0.35">
      <c r="B16" s="60" t="s">
        <v>86</v>
      </c>
      <c r="C16" s="48">
        <f>MDT!C3</f>
        <v>43862</v>
      </c>
      <c r="D16" s="48"/>
      <c r="E16" s="47">
        <f>MDT!C4</f>
        <v>6</v>
      </c>
      <c r="F16" s="76">
        <f>MDT!F7</f>
        <v>-4387.2</v>
      </c>
      <c r="G16" s="76"/>
      <c r="H16" s="76">
        <f>IFERROR(MIN(1,MAX(0,(EOMONTH(H$4,0)+1-$C16)/(EDATE($C16,$E16)-$C16)))*$F16/12+IF(H$3=1,$G16/12,0),0)</f>
        <v>0</v>
      </c>
      <c r="I16" s="76">
        <f t="shared" si="15"/>
        <v>0</v>
      </c>
      <c r="J16" s="76">
        <f t="shared" si="15"/>
        <v>0</v>
      </c>
      <c r="K16" s="76">
        <f t="shared" si="15"/>
        <v>0</v>
      </c>
      <c r="L16" s="76">
        <f t="shared" si="15"/>
        <v>0</v>
      </c>
      <c r="M16" s="76">
        <f t="shared" si="15"/>
        <v>0</v>
      </c>
      <c r="N16" s="76">
        <f t="shared" si="15"/>
        <v>-58.254945054945047</v>
      </c>
      <c r="O16" s="76">
        <f t="shared" si="10"/>
        <v>-120.52747252747253</v>
      </c>
      <c r="P16" s="76">
        <f t="shared" si="10"/>
        <v>-180.79120879120879</v>
      </c>
      <c r="Q16" s="76">
        <f t="shared" si="10"/>
        <v>-243.06373626373625</v>
      </c>
      <c r="R16" s="76">
        <f t="shared" si="10"/>
        <v>-303.32747252747254</v>
      </c>
      <c r="S16" s="76">
        <f t="shared" si="10"/>
        <v>-365.59999999999997</v>
      </c>
      <c r="T16" s="76">
        <f t="shared" si="10"/>
        <v>-365.59999999999997</v>
      </c>
      <c r="U16" s="76">
        <f t="shared" si="10"/>
        <v>-365.59999999999997</v>
      </c>
      <c r="V16" s="76">
        <f t="shared" si="10"/>
        <v>-365.59999999999997</v>
      </c>
      <c r="W16" s="76">
        <f t="shared" si="10"/>
        <v>-365.59999999999997</v>
      </c>
      <c r="X16" s="76">
        <f t="shared" si="10"/>
        <v>-365.59999999999997</v>
      </c>
      <c r="Y16" s="76">
        <f t="shared" si="10"/>
        <v>-365.59999999999997</v>
      </c>
      <c r="Z16" s="76">
        <f t="shared" ref="O16:AR22" si="16">IFERROR(MIN(1,MAX(0,(EOMONTH(Z$4,0)+1-$C16)/(EDATE($C16,$E16)-$C16)))*$F16/12+IF(Z$3=1,$G16/12,0),0)</f>
        <v>-365.59999999999997</v>
      </c>
      <c r="AA16" s="76">
        <f t="shared" si="16"/>
        <v>-365.59999999999997</v>
      </c>
      <c r="AB16" s="76">
        <f t="shared" si="16"/>
        <v>-365.59999999999997</v>
      </c>
      <c r="AC16" s="76">
        <f t="shared" si="16"/>
        <v>-365.59999999999997</v>
      </c>
      <c r="AD16" s="76">
        <f t="shared" si="16"/>
        <v>-365.59999999999997</v>
      </c>
      <c r="AE16" s="76">
        <f t="shared" si="16"/>
        <v>-365.59999999999997</v>
      </c>
      <c r="AF16" s="76">
        <f t="shared" si="16"/>
        <v>-365.59999999999997</v>
      </c>
      <c r="AG16" s="76">
        <f t="shared" si="16"/>
        <v>-365.59999999999997</v>
      </c>
      <c r="AH16" s="76">
        <f t="shared" si="16"/>
        <v>-365.59999999999997</v>
      </c>
      <c r="AI16" s="76">
        <f t="shared" si="16"/>
        <v>-365.59999999999997</v>
      </c>
      <c r="AJ16" s="76">
        <f t="shared" si="16"/>
        <v>-365.59999999999997</v>
      </c>
      <c r="AK16" s="76">
        <f t="shared" si="16"/>
        <v>-365.59999999999997</v>
      </c>
      <c r="AL16" s="76">
        <f t="shared" si="16"/>
        <v>-365.59999999999997</v>
      </c>
      <c r="AM16" s="76">
        <f t="shared" si="16"/>
        <v>-365.59999999999997</v>
      </c>
      <c r="AN16" s="76">
        <f t="shared" si="16"/>
        <v>-365.59999999999997</v>
      </c>
      <c r="AO16" s="76">
        <f t="shared" si="16"/>
        <v>-365.59999999999997</v>
      </c>
      <c r="AP16" s="76">
        <f t="shared" si="16"/>
        <v>-365.59999999999997</v>
      </c>
      <c r="AQ16" s="76">
        <f t="shared" si="16"/>
        <v>-365.59999999999997</v>
      </c>
      <c r="AR16" s="76">
        <f t="shared" si="16"/>
        <v>-365.59999999999997</v>
      </c>
      <c r="AS16" s="76">
        <f t="shared" ref="AS16:BC22" si="17">IFERROR(MIN(1,MAX(0,(EOMONTH(AS$4,0)+1-$C16)/(EDATE($C16,$E16)-$C16)))*$F16/12+IF(AS$3=1,$G16/12,0),0)</f>
        <v>-365.59999999999997</v>
      </c>
      <c r="AT16" s="76">
        <f t="shared" si="17"/>
        <v>-365.59999999999997</v>
      </c>
      <c r="AU16" s="76">
        <f t="shared" si="17"/>
        <v>-365.59999999999997</v>
      </c>
      <c r="AV16" s="76">
        <f t="shared" si="17"/>
        <v>-365.59999999999997</v>
      </c>
      <c r="AW16" s="76">
        <f t="shared" si="17"/>
        <v>-365.59999999999997</v>
      </c>
      <c r="AX16" s="76">
        <f t="shared" si="17"/>
        <v>-365.59999999999997</v>
      </c>
      <c r="AY16" s="76">
        <f t="shared" si="17"/>
        <v>-365.59999999999997</v>
      </c>
      <c r="AZ16" s="76">
        <f t="shared" si="17"/>
        <v>-365.59999999999997</v>
      </c>
      <c r="BA16" s="76">
        <f t="shared" si="17"/>
        <v>-365.59999999999997</v>
      </c>
      <c r="BB16" s="76">
        <f t="shared" si="17"/>
        <v>-365.59999999999997</v>
      </c>
      <c r="BC16" s="76">
        <f t="shared" si="17"/>
        <v>-365.59999999999997</v>
      </c>
      <c r="BE16" s="76">
        <f t="shared" si="8"/>
        <v>-1271.5648351648351</v>
      </c>
      <c r="BF16" s="76">
        <f t="shared" si="9"/>
        <v>-4387.2</v>
      </c>
      <c r="BG16" s="76">
        <f t="shared" si="9"/>
        <v>-4387.2</v>
      </c>
      <c r="BH16" s="76">
        <f t="shared" si="9"/>
        <v>-4387.2</v>
      </c>
    </row>
    <row r="17" spans="2:60" ht="21" customHeight="1" x14ac:dyDescent="0.35">
      <c r="B17" s="60" t="s">
        <v>5</v>
      </c>
      <c r="C17" s="48">
        <f>Huddles!C3</f>
        <v>43678</v>
      </c>
      <c r="D17" s="48"/>
      <c r="E17" s="47">
        <f>Huddles!C4</f>
        <v>1</v>
      </c>
      <c r="F17" s="76">
        <f>Huddles!H15</f>
        <v>-19011.199999999997</v>
      </c>
      <c r="G17" s="76"/>
      <c r="H17" s="76">
        <f t="shared" si="14"/>
        <v>-1584.2666666666664</v>
      </c>
      <c r="I17" s="76">
        <f t="shared" si="15"/>
        <v>-1584.2666666666664</v>
      </c>
      <c r="J17" s="76">
        <f t="shared" si="15"/>
        <v>-1584.2666666666664</v>
      </c>
      <c r="K17" s="76">
        <f t="shared" si="15"/>
        <v>-1584.2666666666664</v>
      </c>
      <c r="L17" s="76">
        <f t="shared" si="15"/>
        <v>-1584.2666666666664</v>
      </c>
      <c r="M17" s="76">
        <f t="shared" si="15"/>
        <v>-1584.2666666666664</v>
      </c>
      <c r="N17" s="76">
        <f t="shared" si="15"/>
        <v>-1584.2666666666664</v>
      </c>
      <c r="O17" s="76">
        <f t="shared" si="16"/>
        <v>-1584.2666666666664</v>
      </c>
      <c r="P17" s="76">
        <f t="shared" si="16"/>
        <v>-1584.2666666666664</v>
      </c>
      <c r="Q17" s="76">
        <f t="shared" si="16"/>
        <v>-1584.2666666666664</v>
      </c>
      <c r="R17" s="76">
        <f t="shared" si="16"/>
        <v>-1584.2666666666664</v>
      </c>
      <c r="S17" s="76">
        <f t="shared" si="16"/>
        <v>-1584.2666666666664</v>
      </c>
      <c r="T17" s="76">
        <f t="shared" si="16"/>
        <v>-1584.2666666666664</v>
      </c>
      <c r="U17" s="76">
        <f t="shared" si="16"/>
        <v>-1584.2666666666664</v>
      </c>
      <c r="V17" s="76">
        <f t="shared" si="16"/>
        <v>-1584.2666666666664</v>
      </c>
      <c r="W17" s="76">
        <f t="shared" si="16"/>
        <v>-1584.2666666666664</v>
      </c>
      <c r="X17" s="76">
        <f t="shared" si="16"/>
        <v>-1584.2666666666664</v>
      </c>
      <c r="Y17" s="76">
        <f t="shared" si="16"/>
        <v>-1584.2666666666664</v>
      </c>
      <c r="Z17" s="76">
        <f t="shared" si="16"/>
        <v>-1584.2666666666664</v>
      </c>
      <c r="AA17" s="76">
        <f t="shared" si="16"/>
        <v>-1584.2666666666664</v>
      </c>
      <c r="AB17" s="76">
        <f t="shared" si="16"/>
        <v>-1584.2666666666664</v>
      </c>
      <c r="AC17" s="76">
        <f t="shared" si="16"/>
        <v>-1584.2666666666664</v>
      </c>
      <c r="AD17" s="76">
        <f t="shared" si="16"/>
        <v>-1584.2666666666664</v>
      </c>
      <c r="AE17" s="76">
        <f t="shared" si="16"/>
        <v>-1584.2666666666664</v>
      </c>
      <c r="AF17" s="76">
        <f t="shared" si="16"/>
        <v>-1584.2666666666664</v>
      </c>
      <c r="AG17" s="76">
        <f t="shared" si="16"/>
        <v>-1584.2666666666664</v>
      </c>
      <c r="AH17" s="76">
        <f t="shared" si="16"/>
        <v>-1584.2666666666664</v>
      </c>
      <c r="AI17" s="76">
        <f t="shared" si="16"/>
        <v>-1584.2666666666664</v>
      </c>
      <c r="AJ17" s="76">
        <f t="shared" si="16"/>
        <v>-1584.2666666666664</v>
      </c>
      <c r="AK17" s="76">
        <f t="shared" si="16"/>
        <v>-1584.2666666666664</v>
      </c>
      <c r="AL17" s="76">
        <f t="shared" si="16"/>
        <v>-1584.2666666666664</v>
      </c>
      <c r="AM17" s="76">
        <f t="shared" si="16"/>
        <v>-1584.2666666666664</v>
      </c>
      <c r="AN17" s="76">
        <f t="shared" si="16"/>
        <v>-1584.2666666666664</v>
      </c>
      <c r="AO17" s="76">
        <f t="shared" si="16"/>
        <v>-1584.2666666666664</v>
      </c>
      <c r="AP17" s="76">
        <f t="shared" si="16"/>
        <v>-1584.2666666666664</v>
      </c>
      <c r="AQ17" s="76">
        <f t="shared" si="16"/>
        <v>-1584.2666666666664</v>
      </c>
      <c r="AR17" s="76">
        <f t="shared" ref="AR17:AR22" si="18">IFERROR(MIN(1,MAX(0,(EOMONTH(AR$4,0)+1-$C17)/(EDATE($C17,$E17)-$C17)))*$F17/12+IF(AR$3=1,$G17/12,0),0)</f>
        <v>-1584.2666666666664</v>
      </c>
      <c r="AS17" s="76">
        <f t="shared" si="17"/>
        <v>-1584.2666666666664</v>
      </c>
      <c r="AT17" s="76">
        <f t="shared" si="17"/>
        <v>-1584.2666666666664</v>
      </c>
      <c r="AU17" s="76">
        <f t="shared" si="17"/>
        <v>-1584.2666666666664</v>
      </c>
      <c r="AV17" s="76">
        <f t="shared" si="17"/>
        <v>-1584.2666666666664</v>
      </c>
      <c r="AW17" s="76">
        <f t="shared" si="17"/>
        <v>-1584.2666666666664</v>
      </c>
      <c r="AX17" s="76">
        <f t="shared" si="17"/>
        <v>-1584.2666666666664</v>
      </c>
      <c r="AY17" s="76">
        <f t="shared" si="17"/>
        <v>-1584.2666666666664</v>
      </c>
      <c r="AZ17" s="76">
        <f t="shared" si="17"/>
        <v>-1584.2666666666664</v>
      </c>
      <c r="BA17" s="76">
        <f t="shared" si="17"/>
        <v>-1584.2666666666664</v>
      </c>
      <c r="BB17" s="76">
        <f t="shared" si="17"/>
        <v>-1584.2666666666664</v>
      </c>
      <c r="BC17" s="76">
        <f t="shared" si="17"/>
        <v>-1584.2666666666664</v>
      </c>
      <c r="BE17" s="76">
        <f t="shared" si="8"/>
        <v>-19011.199999999997</v>
      </c>
      <c r="BF17" s="76">
        <f t="shared" si="9"/>
        <v>-19011.199999999997</v>
      </c>
      <c r="BG17" s="76">
        <f t="shared" si="9"/>
        <v>-19011.199999999997</v>
      </c>
      <c r="BH17" s="76">
        <f t="shared" si="9"/>
        <v>-19011.199999999997</v>
      </c>
    </row>
    <row r="18" spans="2:60" ht="21" customHeight="1" x14ac:dyDescent="0.35">
      <c r="B18" s="60" t="s">
        <v>89</v>
      </c>
      <c r="C18" s="48">
        <f>HCA!C3</f>
        <v>43739</v>
      </c>
      <c r="D18" s="48"/>
      <c r="E18" s="47">
        <f>HCA!C4</f>
        <v>6</v>
      </c>
      <c r="F18" s="76">
        <f>HCA!C36</f>
        <v>6144</v>
      </c>
      <c r="G18" s="76"/>
      <c r="H18" s="76">
        <f t="shared" si="14"/>
        <v>0</v>
      </c>
      <c r="I18" s="76">
        <f t="shared" si="15"/>
        <v>0</v>
      </c>
      <c r="J18" s="76">
        <f t="shared" si="15"/>
        <v>86.732240437158467</v>
      </c>
      <c r="K18" s="76">
        <f t="shared" si="15"/>
        <v>170.66666666666666</v>
      </c>
      <c r="L18" s="76">
        <f t="shared" si="15"/>
        <v>257.39890710382514</v>
      </c>
      <c r="M18" s="76">
        <f t="shared" si="15"/>
        <v>344.13114754098359</v>
      </c>
      <c r="N18" s="76">
        <f t="shared" si="15"/>
        <v>425.26775956284155</v>
      </c>
      <c r="O18" s="76">
        <f t="shared" si="16"/>
        <v>512</v>
      </c>
      <c r="P18" s="76">
        <f t="shared" si="16"/>
        <v>512</v>
      </c>
      <c r="Q18" s="76">
        <f t="shared" si="16"/>
        <v>512</v>
      </c>
      <c r="R18" s="76">
        <f t="shared" si="16"/>
        <v>512</v>
      </c>
      <c r="S18" s="76">
        <f t="shared" si="16"/>
        <v>512</v>
      </c>
      <c r="T18" s="76">
        <f t="shared" si="16"/>
        <v>512</v>
      </c>
      <c r="U18" s="76">
        <f t="shared" si="16"/>
        <v>512</v>
      </c>
      <c r="V18" s="76">
        <f t="shared" si="16"/>
        <v>512</v>
      </c>
      <c r="W18" s="76">
        <f t="shared" si="16"/>
        <v>512</v>
      </c>
      <c r="X18" s="76">
        <f t="shared" si="16"/>
        <v>512</v>
      </c>
      <c r="Y18" s="76">
        <f t="shared" si="16"/>
        <v>512</v>
      </c>
      <c r="Z18" s="76">
        <f t="shared" si="16"/>
        <v>512</v>
      </c>
      <c r="AA18" s="76">
        <f t="shared" si="16"/>
        <v>512</v>
      </c>
      <c r="AB18" s="76">
        <f t="shared" si="16"/>
        <v>512</v>
      </c>
      <c r="AC18" s="76">
        <f t="shared" si="16"/>
        <v>512</v>
      </c>
      <c r="AD18" s="76">
        <f t="shared" si="16"/>
        <v>512</v>
      </c>
      <c r="AE18" s="76">
        <f t="shared" si="16"/>
        <v>512</v>
      </c>
      <c r="AF18" s="76">
        <f t="shared" si="16"/>
        <v>512</v>
      </c>
      <c r="AG18" s="76">
        <f t="shared" si="16"/>
        <v>512</v>
      </c>
      <c r="AH18" s="76">
        <f t="shared" si="16"/>
        <v>512</v>
      </c>
      <c r="AI18" s="76">
        <f t="shared" si="16"/>
        <v>512</v>
      </c>
      <c r="AJ18" s="76">
        <f t="shared" si="16"/>
        <v>512</v>
      </c>
      <c r="AK18" s="76">
        <f t="shared" si="16"/>
        <v>512</v>
      </c>
      <c r="AL18" s="76">
        <f t="shared" si="16"/>
        <v>512</v>
      </c>
      <c r="AM18" s="76">
        <f t="shared" si="16"/>
        <v>512</v>
      </c>
      <c r="AN18" s="76">
        <f t="shared" si="16"/>
        <v>512</v>
      </c>
      <c r="AO18" s="76">
        <f t="shared" si="16"/>
        <v>512</v>
      </c>
      <c r="AP18" s="76">
        <f t="shared" si="16"/>
        <v>512</v>
      </c>
      <c r="AQ18" s="76">
        <f t="shared" si="16"/>
        <v>512</v>
      </c>
      <c r="AR18" s="76">
        <f t="shared" si="18"/>
        <v>512</v>
      </c>
      <c r="AS18" s="76">
        <f t="shared" si="17"/>
        <v>512</v>
      </c>
      <c r="AT18" s="76">
        <f t="shared" si="17"/>
        <v>512</v>
      </c>
      <c r="AU18" s="76">
        <f t="shared" si="17"/>
        <v>512</v>
      </c>
      <c r="AV18" s="76">
        <f t="shared" si="17"/>
        <v>512</v>
      </c>
      <c r="AW18" s="76">
        <f t="shared" si="17"/>
        <v>512</v>
      </c>
      <c r="AX18" s="76">
        <f t="shared" si="17"/>
        <v>512</v>
      </c>
      <c r="AY18" s="76">
        <f t="shared" si="17"/>
        <v>512</v>
      </c>
      <c r="AZ18" s="76">
        <f t="shared" si="17"/>
        <v>512</v>
      </c>
      <c r="BA18" s="76">
        <f t="shared" si="17"/>
        <v>512</v>
      </c>
      <c r="BB18" s="76">
        <f t="shared" si="17"/>
        <v>512</v>
      </c>
      <c r="BC18" s="76">
        <f t="shared" si="17"/>
        <v>512</v>
      </c>
      <c r="BD18" s="50"/>
      <c r="BE18" s="76">
        <f t="shared" si="8"/>
        <v>3844.1967213114754</v>
      </c>
      <c r="BF18" s="76">
        <f t="shared" si="9"/>
        <v>6144</v>
      </c>
      <c r="BG18" s="76">
        <f t="shared" si="9"/>
        <v>6144</v>
      </c>
      <c r="BH18" s="76">
        <f t="shared" si="9"/>
        <v>6144</v>
      </c>
    </row>
    <row r="19" spans="2:60" ht="21" customHeight="1" x14ac:dyDescent="0.35">
      <c r="B19" s="60" t="s">
        <v>110</v>
      </c>
      <c r="C19" s="48">
        <f>'Patient Portal'!C10</f>
        <v>43678</v>
      </c>
      <c r="D19" s="48"/>
      <c r="E19" s="47">
        <f>'Patient Portal'!C11</f>
        <v>36</v>
      </c>
      <c r="F19" s="76">
        <f>'Patient Portal'!H21+'Patient Portal'!I21</f>
        <v>-19587.360000000008</v>
      </c>
      <c r="G19" s="76"/>
      <c r="H19" s="76">
        <f t="shared" si="14"/>
        <v>-46.168503649635056</v>
      </c>
      <c r="I19" s="76">
        <f t="shared" si="15"/>
        <v>-90.847700729927055</v>
      </c>
      <c r="J19" s="76">
        <f t="shared" si="15"/>
        <v>-137.01620437956208</v>
      </c>
      <c r="K19" s="76">
        <f t="shared" si="15"/>
        <v>-181.69540145985411</v>
      </c>
      <c r="L19" s="76">
        <f t="shared" si="15"/>
        <v>-227.86390510948914</v>
      </c>
      <c r="M19" s="76">
        <f t="shared" si="15"/>
        <v>-274.03240875912417</v>
      </c>
      <c r="N19" s="76">
        <f t="shared" si="15"/>
        <v>-317.22229927007311</v>
      </c>
      <c r="O19" s="76">
        <f t="shared" si="16"/>
        <v>-363.39080291970822</v>
      </c>
      <c r="P19" s="76">
        <f t="shared" si="16"/>
        <v>-408.07000000000016</v>
      </c>
      <c r="Q19" s="76">
        <f t="shared" si="16"/>
        <v>-454.23850364963522</v>
      </c>
      <c r="R19" s="76">
        <f t="shared" si="16"/>
        <v>-498.91770072992716</v>
      </c>
      <c r="S19" s="76">
        <f t="shared" si="16"/>
        <v>-545.08620437956222</v>
      </c>
      <c r="T19" s="76">
        <f t="shared" si="16"/>
        <v>-591.25470802919733</v>
      </c>
      <c r="U19" s="76">
        <f t="shared" si="16"/>
        <v>-635.93390510948927</v>
      </c>
      <c r="V19" s="76">
        <f t="shared" si="16"/>
        <v>-682.10240875912439</v>
      </c>
      <c r="W19" s="76">
        <f t="shared" si="16"/>
        <v>-726.78160583941644</v>
      </c>
      <c r="X19" s="76">
        <f t="shared" si="16"/>
        <v>-772.95010948905144</v>
      </c>
      <c r="Y19" s="76">
        <f t="shared" si="16"/>
        <v>-819.11861313868633</v>
      </c>
      <c r="Z19" s="76">
        <f t="shared" si="16"/>
        <v>-860.81919708029227</v>
      </c>
      <c r="AA19" s="76">
        <f t="shared" si="16"/>
        <v>-906.98770072992738</v>
      </c>
      <c r="AB19" s="76">
        <f t="shared" si="16"/>
        <v>-951.66689781021933</v>
      </c>
      <c r="AC19" s="76">
        <f t="shared" si="16"/>
        <v>-997.83540145985432</v>
      </c>
      <c r="AD19" s="76">
        <f t="shared" si="16"/>
        <v>-1042.5145985401466</v>
      </c>
      <c r="AE19" s="76">
        <f t="shared" si="16"/>
        <v>-1088.6831021897815</v>
      </c>
      <c r="AF19" s="76">
        <f t="shared" si="16"/>
        <v>-1134.8516058394166</v>
      </c>
      <c r="AG19" s="76">
        <f t="shared" si="16"/>
        <v>-1179.5308029197085</v>
      </c>
      <c r="AH19" s="76">
        <f t="shared" si="16"/>
        <v>-1225.6993065693437</v>
      </c>
      <c r="AI19" s="76">
        <f t="shared" si="16"/>
        <v>-1270.3785036496356</v>
      </c>
      <c r="AJ19" s="76">
        <f t="shared" si="16"/>
        <v>-1316.5470072992705</v>
      </c>
      <c r="AK19" s="76">
        <f t="shared" si="16"/>
        <v>-1362.7155109489056</v>
      </c>
      <c r="AL19" s="76">
        <f t="shared" si="16"/>
        <v>-1404.4160948905117</v>
      </c>
      <c r="AM19" s="76">
        <f t="shared" si="16"/>
        <v>-1450.5845985401465</v>
      </c>
      <c r="AN19" s="76">
        <f t="shared" si="16"/>
        <v>-1495.2637956204387</v>
      </c>
      <c r="AO19" s="76">
        <f t="shared" si="16"/>
        <v>-1541.4322992700736</v>
      </c>
      <c r="AP19" s="76">
        <f t="shared" si="16"/>
        <v>-1586.1114963503658</v>
      </c>
      <c r="AQ19" s="76">
        <f t="shared" si="16"/>
        <v>-1632.2800000000007</v>
      </c>
      <c r="AR19" s="76">
        <f t="shared" si="18"/>
        <v>-1632.2800000000007</v>
      </c>
      <c r="AS19" s="76">
        <f t="shared" si="17"/>
        <v>-1632.2800000000007</v>
      </c>
      <c r="AT19" s="76">
        <f t="shared" si="17"/>
        <v>-1632.2800000000007</v>
      </c>
      <c r="AU19" s="76">
        <f t="shared" si="17"/>
        <v>-1632.2800000000007</v>
      </c>
      <c r="AV19" s="76">
        <f t="shared" si="17"/>
        <v>-1632.2800000000007</v>
      </c>
      <c r="AW19" s="76">
        <f t="shared" si="17"/>
        <v>-1632.2800000000007</v>
      </c>
      <c r="AX19" s="76">
        <f t="shared" si="17"/>
        <v>-1632.2800000000007</v>
      </c>
      <c r="AY19" s="76">
        <f t="shared" si="17"/>
        <v>-1632.2800000000007</v>
      </c>
      <c r="AZ19" s="76">
        <f t="shared" si="17"/>
        <v>-1632.2800000000007</v>
      </c>
      <c r="BA19" s="76">
        <f t="shared" si="17"/>
        <v>-1632.2800000000007</v>
      </c>
      <c r="BB19" s="76">
        <f t="shared" si="17"/>
        <v>-1632.2800000000007</v>
      </c>
      <c r="BC19" s="76">
        <f t="shared" si="17"/>
        <v>-1632.2800000000007</v>
      </c>
      <c r="BE19" s="76">
        <f t="shared" si="8"/>
        <v>-3544.5496350364979</v>
      </c>
      <c r="BF19" s="76">
        <f t="shared" si="9"/>
        <v>-10076.648248175186</v>
      </c>
      <c r="BG19" s="76">
        <f t="shared" si="9"/>
        <v>-16599.811021897818</v>
      </c>
      <c r="BH19" s="76">
        <f t="shared" si="9"/>
        <v>-19587.360000000008</v>
      </c>
    </row>
    <row r="20" spans="2:60" ht="21" customHeight="1" x14ac:dyDescent="0.35">
      <c r="B20" s="60" t="s">
        <v>192</v>
      </c>
      <c r="C20" s="48"/>
      <c r="D20" s="48"/>
      <c r="E20" s="47"/>
      <c r="F20" s="76"/>
      <c r="G20" s="76"/>
      <c r="H20" s="76">
        <f t="shared" si="14"/>
        <v>0</v>
      </c>
      <c r="I20" s="76">
        <f t="shared" si="15"/>
        <v>0</v>
      </c>
      <c r="J20" s="76">
        <f t="shared" si="15"/>
        <v>0</v>
      </c>
      <c r="K20" s="76">
        <f t="shared" si="15"/>
        <v>0</v>
      </c>
      <c r="L20" s="76">
        <f t="shared" si="15"/>
        <v>0</v>
      </c>
      <c r="M20" s="76">
        <f t="shared" si="15"/>
        <v>0</v>
      </c>
      <c r="N20" s="76">
        <f t="shared" si="15"/>
        <v>0</v>
      </c>
      <c r="O20" s="76">
        <f t="shared" si="16"/>
        <v>0</v>
      </c>
      <c r="P20" s="76">
        <f t="shared" si="16"/>
        <v>0</v>
      </c>
      <c r="Q20" s="76">
        <f t="shared" si="16"/>
        <v>0</v>
      </c>
      <c r="R20" s="76">
        <f t="shared" si="16"/>
        <v>0</v>
      </c>
      <c r="S20" s="76">
        <f t="shared" si="16"/>
        <v>0</v>
      </c>
      <c r="T20" s="76">
        <f t="shared" si="16"/>
        <v>0</v>
      </c>
      <c r="U20" s="76">
        <f t="shared" si="16"/>
        <v>0</v>
      </c>
      <c r="V20" s="76">
        <f t="shared" si="16"/>
        <v>0</v>
      </c>
      <c r="W20" s="76">
        <f t="shared" si="16"/>
        <v>0</v>
      </c>
      <c r="X20" s="76">
        <f t="shared" si="16"/>
        <v>0</v>
      </c>
      <c r="Y20" s="76">
        <f t="shared" si="16"/>
        <v>0</v>
      </c>
      <c r="Z20" s="76">
        <f t="shared" si="16"/>
        <v>0</v>
      </c>
      <c r="AA20" s="76">
        <f t="shared" si="16"/>
        <v>0</v>
      </c>
      <c r="AB20" s="76">
        <f t="shared" si="16"/>
        <v>0</v>
      </c>
      <c r="AC20" s="76">
        <f t="shared" si="16"/>
        <v>0</v>
      </c>
      <c r="AD20" s="76">
        <f t="shared" si="16"/>
        <v>0</v>
      </c>
      <c r="AE20" s="76">
        <f t="shared" si="16"/>
        <v>0</v>
      </c>
      <c r="AF20" s="76">
        <f t="shared" si="16"/>
        <v>0</v>
      </c>
      <c r="AG20" s="76">
        <f t="shared" si="16"/>
        <v>0</v>
      </c>
      <c r="AH20" s="76">
        <f t="shared" si="16"/>
        <v>0</v>
      </c>
      <c r="AI20" s="76">
        <f t="shared" si="16"/>
        <v>0</v>
      </c>
      <c r="AJ20" s="76">
        <f t="shared" si="16"/>
        <v>0</v>
      </c>
      <c r="AK20" s="76">
        <f t="shared" si="16"/>
        <v>0</v>
      </c>
      <c r="AL20" s="76">
        <f t="shared" si="16"/>
        <v>0</v>
      </c>
      <c r="AM20" s="76">
        <f t="shared" si="16"/>
        <v>0</v>
      </c>
      <c r="AN20" s="76">
        <f t="shared" si="16"/>
        <v>0</v>
      </c>
      <c r="AO20" s="76">
        <f t="shared" si="16"/>
        <v>0</v>
      </c>
      <c r="AP20" s="76">
        <f t="shared" si="16"/>
        <v>0</v>
      </c>
      <c r="AQ20" s="76">
        <f t="shared" si="16"/>
        <v>0</v>
      </c>
      <c r="AR20" s="76">
        <f t="shared" si="18"/>
        <v>0</v>
      </c>
      <c r="AS20" s="76">
        <f t="shared" si="17"/>
        <v>0</v>
      </c>
      <c r="AT20" s="76">
        <f t="shared" si="17"/>
        <v>0</v>
      </c>
      <c r="AU20" s="76">
        <f t="shared" si="17"/>
        <v>0</v>
      </c>
      <c r="AV20" s="76">
        <f t="shared" si="17"/>
        <v>0</v>
      </c>
      <c r="AW20" s="76">
        <f t="shared" si="17"/>
        <v>0</v>
      </c>
      <c r="AX20" s="76">
        <f t="shared" si="17"/>
        <v>0</v>
      </c>
      <c r="AY20" s="76">
        <f t="shared" si="17"/>
        <v>0</v>
      </c>
      <c r="AZ20" s="76">
        <f t="shared" si="17"/>
        <v>0</v>
      </c>
      <c r="BA20" s="76">
        <f t="shared" si="17"/>
        <v>0</v>
      </c>
      <c r="BB20" s="76">
        <f t="shared" si="17"/>
        <v>0</v>
      </c>
      <c r="BC20" s="76">
        <f t="shared" si="17"/>
        <v>0</v>
      </c>
      <c r="BE20" s="76">
        <f t="shared" si="8"/>
        <v>0</v>
      </c>
      <c r="BF20" s="76">
        <f t="shared" si="9"/>
        <v>0</v>
      </c>
      <c r="BG20" s="76">
        <f t="shared" si="9"/>
        <v>0</v>
      </c>
      <c r="BH20" s="76">
        <f t="shared" si="9"/>
        <v>0</v>
      </c>
    </row>
    <row r="21" spans="2:60" ht="21" customHeight="1" x14ac:dyDescent="0.35">
      <c r="B21" s="60" t="s">
        <v>193</v>
      </c>
      <c r="C21" s="48"/>
      <c r="D21" s="48"/>
      <c r="E21" s="47"/>
      <c r="F21" s="76"/>
      <c r="G21" s="76"/>
      <c r="H21" s="76">
        <f t="shared" si="14"/>
        <v>0</v>
      </c>
      <c r="I21" s="76">
        <f t="shared" si="15"/>
        <v>0</v>
      </c>
      <c r="J21" s="76">
        <f t="shared" si="15"/>
        <v>0</v>
      </c>
      <c r="K21" s="76">
        <f t="shared" si="15"/>
        <v>0</v>
      </c>
      <c r="L21" s="76">
        <f t="shared" si="15"/>
        <v>0</v>
      </c>
      <c r="M21" s="76">
        <f t="shared" si="15"/>
        <v>0</v>
      </c>
      <c r="N21" s="76">
        <f t="shared" si="15"/>
        <v>0</v>
      </c>
      <c r="O21" s="76">
        <f t="shared" si="16"/>
        <v>0</v>
      </c>
      <c r="P21" s="76">
        <f t="shared" si="16"/>
        <v>0</v>
      </c>
      <c r="Q21" s="76">
        <f t="shared" si="16"/>
        <v>0</v>
      </c>
      <c r="R21" s="76">
        <f t="shared" si="16"/>
        <v>0</v>
      </c>
      <c r="S21" s="76">
        <f t="shared" si="16"/>
        <v>0</v>
      </c>
      <c r="T21" s="76">
        <f t="shared" si="16"/>
        <v>0</v>
      </c>
      <c r="U21" s="76">
        <f t="shared" si="16"/>
        <v>0</v>
      </c>
      <c r="V21" s="76">
        <f t="shared" si="16"/>
        <v>0</v>
      </c>
      <c r="W21" s="76">
        <f t="shared" si="16"/>
        <v>0</v>
      </c>
      <c r="X21" s="76">
        <f t="shared" si="16"/>
        <v>0</v>
      </c>
      <c r="Y21" s="76">
        <f t="shared" si="16"/>
        <v>0</v>
      </c>
      <c r="Z21" s="76">
        <f t="shared" si="16"/>
        <v>0</v>
      </c>
      <c r="AA21" s="76">
        <f t="shared" si="16"/>
        <v>0</v>
      </c>
      <c r="AB21" s="76">
        <f t="shared" si="16"/>
        <v>0</v>
      </c>
      <c r="AC21" s="76">
        <f t="shared" si="16"/>
        <v>0</v>
      </c>
      <c r="AD21" s="76">
        <f t="shared" si="16"/>
        <v>0</v>
      </c>
      <c r="AE21" s="76">
        <f t="shared" si="16"/>
        <v>0</v>
      </c>
      <c r="AF21" s="76">
        <f t="shared" si="16"/>
        <v>0</v>
      </c>
      <c r="AG21" s="76">
        <f t="shared" si="16"/>
        <v>0</v>
      </c>
      <c r="AH21" s="76">
        <f t="shared" si="16"/>
        <v>0</v>
      </c>
      <c r="AI21" s="76">
        <f t="shared" si="16"/>
        <v>0</v>
      </c>
      <c r="AJ21" s="76">
        <f t="shared" si="16"/>
        <v>0</v>
      </c>
      <c r="AK21" s="76">
        <f t="shared" si="16"/>
        <v>0</v>
      </c>
      <c r="AL21" s="76">
        <f t="shared" si="16"/>
        <v>0</v>
      </c>
      <c r="AM21" s="76">
        <f t="shared" si="16"/>
        <v>0</v>
      </c>
      <c r="AN21" s="76">
        <f t="shared" si="16"/>
        <v>0</v>
      </c>
      <c r="AO21" s="76">
        <f t="shared" si="16"/>
        <v>0</v>
      </c>
      <c r="AP21" s="76">
        <f t="shared" si="16"/>
        <v>0</v>
      </c>
      <c r="AQ21" s="76">
        <f t="shared" si="16"/>
        <v>0</v>
      </c>
      <c r="AR21" s="76">
        <f t="shared" si="18"/>
        <v>0</v>
      </c>
      <c r="AS21" s="76">
        <f t="shared" si="17"/>
        <v>0</v>
      </c>
      <c r="AT21" s="76">
        <f t="shared" si="17"/>
        <v>0</v>
      </c>
      <c r="AU21" s="76">
        <f t="shared" si="17"/>
        <v>0</v>
      </c>
      <c r="AV21" s="76">
        <f t="shared" si="17"/>
        <v>0</v>
      </c>
      <c r="AW21" s="76">
        <f t="shared" si="17"/>
        <v>0</v>
      </c>
      <c r="AX21" s="76">
        <f t="shared" si="17"/>
        <v>0</v>
      </c>
      <c r="AY21" s="76">
        <f t="shared" si="17"/>
        <v>0</v>
      </c>
      <c r="AZ21" s="76">
        <f t="shared" si="17"/>
        <v>0</v>
      </c>
      <c r="BA21" s="76">
        <f t="shared" si="17"/>
        <v>0</v>
      </c>
      <c r="BB21" s="76">
        <f t="shared" si="17"/>
        <v>0</v>
      </c>
      <c r="BC21" s="76">
        <f t="shared" si="17"/>
        <v>0</v>
      </c>
      <c r="BE21" s="76">
        <f t="shared" si="8"/>
        <v>0</v>
      </c>
      <c r="BF21" s="76">
        <f t="shared" si="9"/>
        <v>0</v>
      </c>
      <c r="BG21" s="76">
        <f t="shared" si="9"/>
        <v>0</v>
      </c>
      <c r="BH21" s="76">
        <f t="shared" si="9"/>
        <v>0</v>
      </c>
    </row>
    <row r="22" spans="2:60" ht="21" customHeight="1" x14ac:dyDescent="0.35">
      <c r="B22" s="60" t="s">
        <v>194</v>
      </c>
      <c r="C22" s="48"/>
      <c r="D22" s="48"/>
      <c r="E22" s="47"/>
      <c r="F22" s="76"/>
      <c r="G22" s="76"/>
      <c r="H22" s="76">
        <f t="shared" si="14"/>
        <v>0</v>
      </c>
      <c r="I22" s="76">
        <f t="shared" si="15"/>
        <v>0</v>
      </c>
      <c r="J22" s="76">
        <f t="shared" si="15"/>
        <v>0</v>
      </c>
      <c r="K22" s="76">
        <f t="shared" si="15"/>
        <v>0</v>
      </c>
      <c r="L22" s="76">
        <f t="shared" si="15"/>
        <v>0</v>
      </c>
      <c r="M22" s="76">
        <f t="shared" si="15"/>
        <v>0</v>
      </c>
      <c r="N22" s="76">
        <f t="shared" si="15"/>
        <v>0</v>
      </c>
      <c r="O22" s="76">
        <f t="shared" si="16"/>
        <v>0</v>
      </c>
      <c r="P22" s="76">
        <f t="shared" si="16"/>
        <v>0</v>
      </c>
      <c r="Q22" s="76">
        <f t="shared" si="16"/>
        <v>0</v>
      </c>
      <c r="R22" s="76">
        <f t="shared" si="16"/>
        <v>0</v>
      </c>
      <c r="S22" s="76">
        <f t="shared" si="16"/>
        <v>0</v>
      </c>
      <c r="T22" s="76">
        <f t="shared" si="16"/>
        <v>0</v>
      </c>
      <c r="U22" s="76">
        <f t="shared" si="16"/>
        <v>0</v>
      </c>
      <c r="V22" s="76">
        <f t="shared" si="16"/>
        <v>0</v>
      </c>
      <c r="W22" s="76">
        <f t="shared" si="16"/>
        <v>0</v>
      </c>
      <c r="X22" s="76">
        <f t="shared" si="16"/>
        <v>0</v>
      </c>
      <c r="Y22" s="76">
        <f t="shared" si="16"/>
        <v>0</v>
      </c>
      <c r="Z22" s="76">
        <f t="shared" si="16"/>
        <v>0</v>
      </c>
      <c r="AA22" s="76">
        <f t="shared" si="16"/>
        <v>0</v>
      </c>
      <c r="AB22" s="76">
        <f t="shared" si="16"/>
        <v>0</v>
      </c>
      <c r="AC22" s="76">
        <f t="shared" si="16"/>
        <v>0</v>
      </c>
      <c r="AD22" s="76">
        <f t="shared" si="16"/>
        <v>0</v>
      </c>
      <c r="AE22" s="76">
        <f t="shared" si="16"/>
        <v>0</v>
      </c>
      <c r="AF22" s="76">
        <f t="shared" si="16"/>
        <v>0</v>
      </c>
      <c r="AG22" s="76">
        <f t="shared" si="16"/>
        <v>0</v>
      </c>
      <c r="AH22" s="76">
        <f t="shared" si="16"/>
        <v>0</v>
      </c>
      <c r="AI22" s="76">
        <f t="shared" si="16"/>
        <v>0</v>
      </c>
      <c r="AJ22" s="76">
        <f t="shared" si="16"/>
        <v>0</v>
      </c>
      <c r="AK22" s="76">
        <f t="shared" si="16"/>
        <v>0</v>
      </c>
      <c r="AL22" s="76">
        <f t="shared" si="16"/>
        <v>0</v>
      </c>
      <c r="AM22" s="76">
        <f t="shared" si="16"/>
        <v>0</v>
      </c>
      <c r="AN22" s="76">
        <f t="shared" si="16"/>
        <v>0</v>
      </c>
      <c r="AO22" s="76">
        <f t="shared" si="16"/>
        <v>0</v>
      </c>
      <c r="AP22" s="76">
        <f t="shared" si="16"/>
        <v>0</v>
      </c>
      <c r="AQ22" s="76">
        <f t="shared" si="16"/>
        <v>0</v>
      </c>
      <c r="AR22" s="76">
        <f t="shared" si="18"/>
        <v>0</v>
      </c>
      <c r="AS22" s="76">
        <f t="shared" si="17"/>
        <v>0</v>
      </c>
      <c r="AT22" s="76">
        <f t="shared" si="17"/>
        <v>0</v>
      </c>
      <c r="AU22" s="76">
        <f t="shared" si="17"/>
        <v>0</v>
      </c>
      <c r="AV22" s="76">
        <f t="shared" si="17"/>
        <v>0</v>
      </c>
      <c r="AW22" s="76">
        <f t="shared" si="17"/>
        <v>0</v>
      </c>
      <c r="AX22" s="76">
        <f t="shared" si="17"/>
        <v>0</v>
      </c>
      <c r="AY22" s="76">
        <f t="shared" si="17"/>
        <v>0</v>
      </c>
      <c r="AZ22" s="76">
        <f t="shared" si="17"/>
        <v>0</v>
      </c>
      <c r="BA22" s="76">
        <f t="shared" si="17"/>
        <v>0</v>
      </c>
      <c r="BB22" s="76">
        <f t="shared" si="17"/>
        <v>0</v>
      </c>
      <c r="BC22" s="76">
        <f t="shared" si="17"/>
        <v>0</v>
      </c>
      <c r="BE22" s="76">
        <f t="shared" si="8"/>
        <v>0</v>
      </c>
      <c r="BF22" s="76">
        <f t="shared" si="9"/>
        <v>0</v>
      </c>
      <c r="BG22" s="76">
        <f t="shared" si="9"/>
        <v>0</v>
      </c>
      <c r="BH22" s="76">
        <f t="shared" si="9"/>
        <v>0</v>
      </c>
    </row>
    <row r="23" spans="2:60" ht="21" customHeight="1" x14ac:dyDescent="0.35">
      <c r="B23" s="60" t="s">
        <v>177</v>
      </c>
      <c r="C23" s="48">
        <f>'Master Data'!C4</f>
        <v>43678</v>
      </c>
      <c r="D23" s="48">
        <f>'Master Data'!C5</f>
        <v>44773</v>
      </c>
      <c r="E23" s="47">
        <v>1</v>
      </c>
      <c r="F23" s="19">
        <f>Other!C24+Other!D24</f>
        <v>-731.19999999999993</v>
      </c>
      <c r="G23" s="76">
        <f>Other!C13+Other!D13</f>
        <v>0</v>
      </c>
      <c r="H23" s="76">
        <f t="shared" ref="H23:AQ23" si="19">IF(H$4&gt;$D23,0,IFERROR(MIN(1,MAX(0,(EOMONTH(H$4,0)+1-$C23)/(EDATE($C23,$E23)-$C23)))*$F23/12+IF(H$3=1,$G23/12,0),0))</f>
        <v>-60.93333333333333</v>
      </c>
      <c r="I23" s="76">
        <f t="shared" si="19"/>
        <v>-60.93333333333333</v>
      </c>
      <c r="J23" s="76">
        <f t="shared" si="19"/>
        <v>-60.93333333333333</v>
      </c>
      <c r="K23" s="76">
        <f t="shared" si="19"/>
        <v>-60.93333333333333</v>
      </c>
      <c r="L23" s="76">
        <f t="shared" si="19"/>
        <v>-60.93333333333333</v>
      </c>
      <c r="M23" s="76">
        <f t="shared" si="19"/>
        <v>-60.93333333333333</v>
      </c>
      <c r="N23" s="76">
        <f t="shared" si="19"/>
        <v>-60.93333333333333</v>
      </c>
      <c r="O23" s="76">
        <f t="shared" si="19"/>
        <v>-60.93333333333333</v>
      </c>
      <c r="P23" s="76">
        <f t="shared" si="19"/>
        <v>-60.93333333333333</v>
      </c>
      <c r="Q23" s="76">
        <f t="shared" si="19"/>
        <v>-60.93333333333333</v>
      </c>
      <c r="R23" s="76">
        <f t="shared" si="19"/>
        <v>-60.93333333333333</v>
      </c>
      <c r="S23" s="76">
        <f t="shared" si="19"/>
        <v>-60.93333333333333</v>
      </c>
      <c r="T23" s="76">
        <f t="shared" si="19"/>
        <v>-60.93333333333333</v>
      </c>
      <c r="U23" s="76">
        <f t="shared" si="19"/>
        <v>-60.93333333333333</v>
      </c>
      <c r="V23" s="76">
        <f t="shared" si="19"/>
        <v>-60.93333333333333</v>
      </c>
      <c r="W23" s="76">
        <f t="shared" si="19"/>
        <v>-60.93333333333333</v>
      </c>
      <c r="X23" s="76">
        <f t="shared" si="19"/>
        <v>-60.93333333333333</v>
      </c>
      <c r="Y23" s="76">
        <f t="shared" si="19"/>
        <v>-60.93333333333333</v>
      </c>
      <c r="Z23" s="76">
        <f t="shared" si="19"/>
        <v>-60.93333333333333</v>
      </c>
      <c r="AA23" s="76">
        <f t="shared" si="19"/>
        <v>-60.93333333333333</v>
      </c>
      <c r="AB23" s="76">
        <f t="shared" si="19"/>
        <v>-60.93333333333333</v>
      </c>
      <c r="AC23" s="76">
        <f t="shared" si="19"/>
        <v>-60.93333333333333</v>
      </c>
      <c r="AD23" s="76">
        <f t="shared" si="19"/>
        <v>-60.93333333333333</v>
      </c>
      <c r="AE23" s="76">
        <f t="shared" si="19"/>
        <v>-60.93333333333333</v>
      </c>
      <c r="AF23" s="76">
        <f t="shared" si="19"/>
        <v>-60.93333333333333</v>
      </c>
      <c r="AG23" s="76">
        <f t="shared" si="19"/>
        <v>-60.93333333333333</v>
      </c>
      <c r="AH23" s="76">
        <f t="shared" si="19"/>
        <v>-60.93333333333333</v>
      </c>
      <c r="AI23" s="76">
        <f t="shared" si="19"/>
        <v>-60.93333333333333</v>
      </c>
      <c r="AJ23" s="76">
        <f t="shared" si="19"/>
        <v>-60.93333333333333</v>
      </c>
      <c r="AK23" s="76">
        <f t="shared" si="19"/>
        <v>-60.93333333333333</v>
      </c>
      <c r="AL23" s="76">
        <f t="shared" si="19"/>
        <v>-60.93333333333333</v>
      </c>
      <c r="AM23" s="76">
        <f t="shared" si="19"/>
        <v>-60.93333333333333</v>
      </c>
      <c r="AN23" s="76">
        <f t="shared" si="19"/>
        <v>-60.93333333333333</v>
      </c>
      <c r="AO23" s="76">
        <f t="shared" si="19"/>
        <v>-60.93333333333333</v>
      </c>
      <c r="AP23" s="76">
        <f t="shared" si="19"/>
        <v>-60.93333333333333</v>
      </c>
      <c r="AQ23" s="76">
        <f t="shared" si="19"/>
        <v>-60.93333333333333</v>
      </c>
      <c r="AR23" s="76">
        <f>IF(AR$4&gt;$D23,0,IFERROR(MIN(1,MAX(0,(EOMONTH(AR$4,0)+1-$C23)/(EDATE($C23,$E23)-$C23)))*$F23/12+IF(AR$3=1,$G23/12,0),0))</f>
        <v>0</v>
      </c>
      <c r="AS23" s="76">
        <f t="shared" ref="AS23:BC23" si="20">IF(AS$4&gt;$D23,0,IFERROR(MIN(1,MAX(0,(EOMONTH(AS$4,0)+1-$C23)/(EDATE($C23,$E23)-$C23)))*$F23/12+IF(AS$3=1,$G23/12,0),0))</f>
        <v>0</v>
      </c>
      <c r="AT23" s="76">
        <f t="shared" si="20"/>
        <v>0</v>
      </c>
      <c r="AU23" s="76">
        <f t="shared" si="20"/>
        <v>0</v>
      </c>
      <c r="AV23" s="76">
        <f t="shared" si="20"/>
        <v>0</v>
      </c>
      <c r="AW23" s="76">
        <f t="shared" si="20"/>
        <v>0</v>
      </c>
      <c r="AX23" s="76">
        <f t="shared" si="20"/>
        <v>0</v>
      </c>
      <c r="AY23" s="76">
        <f t="shared" si="20"/>
        <v>0</v>
      </c>
      <c r="AZ23" s="76">
        <f t="shared" si="20"/>
        <v>0</v>
      </c>
      <c r="BA23" s="76">
        <f t="shared" si="20"/>
        <v>0</v>
      </c>
      <c r="BB23" s="76">
        <f t="shared" si="20"/>
        <v>0</v>
      </c>
      <c r="BC23" s="76">
        <f t="shared" si="20"/>
        <v>0</v>
      </c>
      <c r="BE23" s="76">
        <f t="shared" si="8"/>
        <v>-731.19999999999982</v>
      </c>
      <c r="BF23" s="76">
        <f>SUMIF($H$3:$BD$3,BF$3,$H23:$BD23)</f>
        <v>-731.19999999999982</v>
      </c>
      <c r="BG23" s="76">
        <f>SUMIF($H$3:$BD$3,BG$3,$H23:$BD23)</f>
        <v>-731.19999999999982</v>
      </c>
      <c r="BH23" s="76">
        <f>SUMIF($H$3:$BD$3,BH$3,$H23:$BD23)</f>
        <v>0</v>
      </c>
    </row>
    <row r="24" spans="2:60" ht="21" customHeight="1" x14ac:dyDescent="0.35">
      <c r="C24" s="51"/>
      <c r="D24" s="51"/>
      <c r="E24" s="52"/>
      <c r="H24" s="61"/>
      <c r="I24" s="61"/>
      <c r="J24" s="61"/>
      <c r="K24" s="61"/>
      <c r="L24" s="61"/>
      <c r="M24" s="61"/>
      <c r="N24" s="61"/>
      <c r="O24" s="61"/>
      <c r="P24" s="61"/>
      <c r="Q24" s="61"/>
      <c r="R24" s="61"/>
      <c r="S24" s="61"/>
      <c r="T24" s="61"/>
      <c r="U24" s="61"/>
      <c r="V24" s="61"/>
      <c r="W24" s="61"/>
      <c r="X24" s="61"/>
      <c r="Y24" s="61"/>
      <c r="Z24" s="61"/>
      <c r="AA24" s="61"/>
      <c r="AB24" s="61"/>
      <c r="AC24" s="61"/>
      <c r="AD24" s="61"/>
      <c r="AE24" s="61"/>
      <c r="AF24" s="61"/>
      <c r="AG24" s="61"/>
      <c r="AH24" s="61"/>
      <c r="AI24" s="61"/>
      <c r="AJ24" s="61"/>
      <c r="AK24" s="61"/>
      <c r="AL24" s="61"/>
      <c r="AM24" s="61"/>
      <c r="AN24" s="61"/>
      <c r="AO24" s="61"/>
      <c r="AP24" s="61"/>
      <c r="AQ24" s="61"/>
      <c r="AR24" s="61"/>
      <c r="AS24" s="61"/>
      <c r="AT24" s="61"/>
      <c r="AU24" s="61"/>
      <c r="AV24" s="61"/>
      <c r="AW24" s="61"/>
      <c r="AX24" s="61"/>
      <c r="AY24" s="61"/>
      <c r="AZ24" s="61"/>
      <c r="BA24" s="61"/>
      <c r="BB24" s="61"/>
      <c r="BC24" s="61"/>
      <c r="BE24" s="61"/>
      <c r="BF24" s="61"/>
      <c r="BG24" s="61"/>
      <c r="BH24" s="61"/>
    </row>
    <row r="25" spans="2:60" ht="21" customHeight="1" x14ac:dyDescent="0.35">
      <c r="B25" s="60" t="s">
        <v>140</v>
      </c>
      <c r="C25" s="51"/>
      <c r="D25" s="51"/>
      <c r="E25" s="52"/>
      <c r="H25" s="76">
        <f>H7+H8</f>
        <v>5000</v>
      </c>
      <c r="I25" s="76">
        <f t="shared" ref="I25:AA25" si="21">I7+I8</f>
        <v>5000</v>
      </c>
      <c r="J25" s="76">
        <f t="shared" si="21"/>
        <v>5000</v>
      </c>
      <c r="K25" s="76">
        <f t="shared" si="21"/>
        <v>5000</v>
      </c>
      <c r="L25" s="76">
        <f t="shared" si="21"/>
        <v>5000</v>
      </c>
      <c r="M25" s="76">
        <f t="shared" si="21"/>
        <v>5000</v>
      </c>
      <c r="N25" s="76">
        <f t="shared" si="21"/>
        <v>5000</v>
      </c>
      <c r="O25" s="76">
        <f t="shared" si="21"/>
        <v>5000</v>
      </c>
      <c r="P25" s="76">
        <f t="shared" si="21"/>
        <v>5000</v>
      </c>
      <c r="Q25" s="76">
        <f t="shared" si="21"/>
        <v>5000</v>
      </c>
      <c r="R25" s="76">
        <f t="shared" si="21"/>
        <v>5000</v>
      </c>
      <c r="S25" s="76">
        <f t="shared" si="21"/>
        <v>5000</v>
      </c>
      <c r="T25" s="76">
        <f t="shared" si="21"/>
        <v>5000</v>
      </c>
      <c r="U25" s="76">
        <f t="shared" si="21"/>
        <v>5000</v>
      </c>
      <c r="V25" s="76">
        <f t="shared" si="21"/>
        <v>5000</v>
      </c>
      <c r="W25" s="76">
        <f t="shared" si="21"/>
        <v>5000</v>
      </c>
      <c r="X25" s="76">
        <f t="shared" si="21"/>
        <v>5000</v>
      </c>
      <c r="Y25" s="76">
        <f t="shared" si="21"/>
        <v>5000</v>
      </c>
      <c r="Z25" s="76">
        <f t="shared" si="21"/>
        <v>5000</v>
      </c>
      <c r="AA25" s="76">
        <f t="shared" si="21"/>
        <v>5000</v>
      </c>
      <c r="AB25" s="76">
        <f t="shared" ref="AB25:BC25" si="22">AB7+AB8</f>
        <v>5000</v>
      </c>
      <c r="AC25" s="76">
        <f t="shared" si="22"/>
        <v>5000</v>
      </c>
      <c r="AD25" s="76">
        <f t="shared" si="22"/>
        <v>5000</v>
      </c>
      <c r="AE25" s="76">
        <f t="shared" si="22"/>
        <v>5000</v>
      </c>
      <c r="AF25" s="76">
        <f t="shared" si="22"/>
        <v>5000</v>
      </c>
      <c r="AG25" s="76">
        <f t="shared" si="22"/>
        <v>5000</v>
      </c>
      <c r="AH25" s="76">
        <f t="shared" si="22"/>
        <v>5000</v>
      </c>
      <c r="AI25" s="76">
        <f t="shared" si="22"/>
        <v>5000</v>
      </c>
      <c r="AJ25" s="76">
        <f t="shared" si="22"/>
        <v>5000</v>
      </c>
      <c r="AK25" s="76">
        <f t="shared" si="22"/>
        <v>5000</v>
      </c>
      <c r="AL25" s="76">
        <f t="shared" si="22"/>
        <v>5000</v>
      </c>
      <c r="AM25" s="76">
        <f t="shared" si="22"/>
        <v>5000</v>
      </c>
      <c r="AN25" s="76">
        <f t="shared" si="22"/>
        <v>5000</v>
      </c>
      <c r="AO25" s="76">
        <f t="shared" si="22"/>
        <v>5000</v>
      </c>
      <c r="AP25" s="76">
        <f t="shared" si="22"/>
        <v>5000</v>
      </c>
      <c r="AQ25" s="76">
        <f t="shared" si="22"/>
        <v>5000</v>
      </c>
      <c r="AR25" s="76">
        <f t="shared" si="22"/>
        <v>5000</v>
      </c>
      <c r="AS25" s="76">
        <f t="shared" si="22"/>
        <v>5000</v>
      </c>
      <c r="AT25" s="76">
        <f t="shared" si="22"/>
        <v>5000</v>
      </c>
      <c r="AU25" s="76">
        <f t="shared" si="22"/>
        <v>5000</v>
      </c>
      <c r="AV25" s="76">
        <f t="shared" si="22"/>
        <v>5000</v>
      </c>
      <c r="AW25" s="76">
        <f t="shared" si="22"/>
        <v>5000</v>
      </c>
      <c r="AX25" s="76">
        <f t="shared" si="22"/>
        <v>5000</v>
      </c>
      <c r="AY25" s="76">
        <f t="shared" si="22"/>
        <v>5000</v>
      </c>
      <c r="AZ25" s="76">
        <f t="shared" si="22"/>
        <v>5000</v>
      </c>
      <c r="BA25" s="76">
        <f t="shared" si="22"/>
        <v>5000</v>
      </c>
      <c r="BB25" s="76">
        <f t="shared" si="22"/>
        <v>5000</v>
      </c>
      <c r="BC25" s="76">
        <f t="shared" si="22"/>
        <v>5000</v>
      </c>
      <c r="BE25" s="76">
        <f>BE7+BE8</f>
        <v>60000</v>
      </c>
      <c r="BF25" s="76">
        <f>BF7+BF8</f>
        <v>60000</v>
      </c>
      <c r="BG25" s="76">
        <f>BG7+BG8</f>
        <v>60000</v>
      </c>
      <c r="BH25" s="76">
        <f>BH7+BH8</f>
        <v>60000</v>
      </c>
    </row>
    <row r="26" spans="2:60" ht="21" customHeight="1" x14ac:dyDescent="0.35">
      <c r="B26" s="60" t="s">
        <v>30</v>
      </c>
      <c r="C26" s="51"/>
      <c r="D26" s="51"/>
      <c r="E26" s="52"/>
      <c r="H26" s="76">
        <f>SUM(H7:H23)-H25</f>
        <v>-1691.3685036496349</v>
      </c>
      <c r="I26" s="76">
        <f t="shared" ref="I26:AA26" si="23">SUM(I7:I23)-I25</f>
        <v>-1736.0477007299269</v>
      </c>
      <c r="J26" s="76">
        <f t="shared" si="23"/>
        <v>-2493.789635019908</v>
      </c>
      <c r="K26" s="76">
        <f t="shared" si="23"/>
        <v>-3227.088281106986</v>
      </c>
      <c r="L26" s="76">
        <f t="shared" si="23"/>
        <v>-3984.8302153969676</v>
      </c>
      <c r="M26" s="76">
        <f t="shared" si="23"/>
        <v>-3944.2664786094442</v>
      </c>
      <c r="N26" s="76">
        <f t="shared" si="23"/>
        <v>-3923.0474312694578</v>
      </c>
      <c r="O26" s="76">
        <f t="shared" si="23"/>
        <v>-3900.3650013542997</v>
      </c>
      <c r="P26" s="76">
        <f t="shared" si="23"/>
        <v>-3962.348688956235</v>
      </c>
      <c r="Q26" s="76">
        <f t="shared" si="23"/>
        <v>-4026.3984994782359</v>
      </c>
      <c r="R26" s="76">
        <f t="shared" si="23"/>
        <v>-4088.3821870801717</v>
      </c>
      <c r="S26" s="76">
        <f t="shared" si="23"/>
        <v>-4152.4319976021716</v>
      </c>
      <c r="T26" s="76">
        <f t="shared" si="23"/>
        <v>-4154.2092806516448</v>
      </c>
      <c r="U26" s="76">
        <f t="shared" si="23"/>
        <v>-4155.9292319898441</v>
      </c>
      <c r="V26" s="76">
        <f t="shared" si="23"/>
        <v>-4157.7065150393173</v>
      </c>
      <c r="W26" s="76">
        <f t="shared" si="23"/>
        <v>-4159.4264663775166</v>
      </c>
      <c r="X26" s="76">
        <f t="shared" si="23"/>
        <v>-4161.2037494269889</v>
      </c>
      <c r="Y26" s="76">
        <f t="shared" si="23"/>
        <v>-4162.9810324764621</v>
      </c>
      <c r="Z26" s="76">
        <f t="shared" si="23"/>
        <v>-4164.5863203921144</v>
      </c>
      <c r="AA26" s="76">
        <f t="shared" si="23"/>
        <v>-4166.3636034415877</v>
      </c>
      <c r="AB26" s="76">
        <f t="shared" ref="AB26:BB26" si="24">SUM(AB7:AB23)-AB25</f>
        <v>-4168.0835547797869</v>
      </c>
      <c r="AC26" s="76">
        <f t="shared" si="24"/>
        <v>-4169.8608378292602</v>
      </c>
      <c r="AD26" s="76">
        <f t="shared" si="24"/>
        <v>-4171.5807891674604</v>
      </c>
      <c r="AE26" s="76">
        <f t="shared" si="24"/>
        <v>-4173.3580722169327</v>
      </c>
      <c r="AF26" s="76">
        <f t="shared" si="24"/>
        <v>-4175.135355266405</v>
      </c>
      <c r="AG26" s="76">
        <f t="shared" si="24"/>
        <v>-4176.8553066046052</v>
      </c>
      <c r="AH26" s="76">
        <f t="shared" si="24"/>
        <v>-4178.6325896540775</v>
      </c>
      <c r="AI26" s="76">
        <f t="shared" si="24"/>
        <v>-4180.3525409922777</v>
      </c>
      <c r="AJ26" s="76">
        <f t="shared" si="24"/>
        <v>-4182.12982404175</v>
      </c>
      <c r="AK26" s="76">
        <f t="shared" si="24"/>
        <v>-4183.9071070912232</v>
      </c>
      <c r="AL26" s="76">
        <f t="shared" si="24"/>
        <v>-4185.5123950068764</v>
      </c>
      <c r="AM26" s="76">
        <f t="shared" si="24"/>
        <v>-4187.2896780563487</v>
      </c>
      <c r="AN26" s="76">
        <f t="shared" si="24"/>
        <v>-4189.009629394548</v>
      </c>
      <c r="AO26" s="76">
        <f t="shared" si="24"/>
        <v>-4190.7869124440213</v>
      </c>
      <c r="AP26" s="76">
        <f t="shared" si="24"/>
        <v>-4192.5068637822205</v>
      </c>
      <c r="AQ26" s="76">
        <f t="shared" si="24"/>
        <v>-4194.2841468316938</v>
      </c>
      <c r="AR26" s="76">
        <f t="shared" si="24"/>
        <v>-4088.959592898198</v>
      </c>
      <c r="AS26" s="76">
        <f t="shared" si="24"/>
        <v>-4046.0003471561054</v>
      </c>
      <c r="AT26" s="76">
        <f t="shared" si="24"/>
        <v>-4001.6091265559435</v>
      </c>
      <c r="AU26" s="76">
        <f t="shared" si="24"/>
        <v>-3958.6498808138508</v>
      </c>
      <c r="AV26" s="76">
        <f t="shared" si="24"/>
        <v>-3914.2586602136885</v>
      </c>
      <c r="AW26" s="76">
        <f t="shared" si="24"/>
        <v>-3869.8674396135261</v>
      </c>
      <c r="AX26" s="76">
        <f t="shared" si="24"/>
        <v>-3869.8674396135261</v>
      </c>
      <c r="AY26" s="76">
        <f t="shared" si="24"/>
        <v>-3869.8674396135261</v>
      </c>
      <c r="AZ26" s="76">
        <f t="shared" si="24"/>
        <v>-3869.8674396135261</v>
      </c>
      <c r="BA26" s="76">
        <f t="shared" si="24"/>
        <v>-3869.8674396135261</v>
      </c>
      <c r="BB26" s="76">
        <f t="shared" si="24"/>
        <v>-3869.8674396135261</v>
      </c>
      <c r="BC26" s="76">
        <f t="shared" ref="BC26:BH26" si="25">SUM(BC7:BC23)-BC25</f>
        <v>-3869.8674396135261</v>
      </c>
      <c r="BE26" s="76">
        <f t="shared" si="25"/>
        <v>-41130.364620253444</v>
      </c>
      <c r="BF26" s="76">
        <f t="shared" si="25"/>
        <v>-49965.289453788908</v>
      </c>
      <c r="BG26" s="76">
        <f t="shared" si="25"/>
        <v>-50216.402349166048</v>
      </c>
      <c r="BH26" s="76">
        <f t="shared" si="25"/>
        <v>-47098.549684932463</v>
      </c>
    </row>
    <row r="27" spans="2:60" ht="21" customHeight="1" x14ac:dyDescent="0.35">
      <c r="B27" s="60" t="s">
        <v>104</v>
      </c>
      <c r="C27" s="51"/>
      <c r="D27" s="51"/>
      <c r="E27" s="52"/>
      <c r="H27" s="76">
        <f>SUM(H25:H26)</f>
        <v>3308.6314963503651</v>
      </c>
      <c r="I27" s="76">
        <f t="shared" ref="I27:AA27" si="26">SUM(I25:I26)</f>
        <v>3263.9522992700731</v>
      </c>
      <c r="J27" s="76">
        <f t="shared" si="26"/>
        <v>2506.210364980092</v>
      </c>
      <c r="K27" s="76">
        <f t="shared" si="26"/>
        <v>1772.911718893014</v>
      </c>
      <c r="L27" s="76">
        <f t="shared" si="26"/>
        <v>1015.1697846030324</v>
      </c>
      <c r="M27" s="76">
        <f t="shared" si="26"/>
        <v>1055.7335213905558</v>
      </c>
      <c r="N27" s="76">
        <f t="shared" si="26"/>
        <v>1076.9525687305422</v>
      </c>
      <c r="O27" s="76">
        <f t="shared" si="26"/>
        <v>1099.6349986457003</v>
      </c>
      <c r="P27" s="76">
        <f t="shared" si="26"/>
        <v>1037.651311043765</v>
      </c>
      <c r="Q27" s="76">
        <f t="shared" si="26"/>
        <v>973.60150052176414</v>
      </c>
      <c r="R27" s="76">
        <f t="shared" si="26"/>
        <v>911.61781291982834</v>
      </c>
      <c r="S27" s="76">
        <f t="shared" si="26"/>
        <v>847.56800239782842</v>
      </c>
      <c r="T27" s="76">
        <f t="shared" si="26"/>
        <v>845.7907193483552</v>
      </c>
      <c r="U27" s="76">
        <f t="shared" si="26"/>
        <v>844.07076801015592</v>
      </c>
      <c r="V27" s="76">
        <f t="shared" si="26"/>
        <v>842.29348496068269</v>
      </c>
      <c r="W27" s="76">
        <f t="shared" si="26"/>
        <v>840.57353362248341</v>
      </c>
      <c r="X27" s="76">
        <f t="shared" si="26"/>
        <v>838.79625057301109</v>
      </c>
      <c r="Y27" s="76">
        <f t="shared" si="26"/>
        <v>837.01896752353787</v>
      </c>
      <c r="Z27" s="76">
        <f t="shared" si="26"/>
        <v>835.41367960788557</v>
      </c>
      <c r="AA27" s="76">
        <f t="shared" si="26"/>
        <v>833.63639655841234</v>
      </c>
      <c r="AB27" s="76">
        <f t="shared" ref="AB27:BB27" si="27">SUM(AB25:AB26)</f>
        <v>831.91644522021306</v>
      </c>
      <c r="AC27" s="76">
        <f t="shared" si="27"/>
        <v>830.13916217073984</v>
      </c>
      <c r="AD27" s="76">
        <f t="shared" si="27"/>
        <v>828.41921083253965</v>
      </c>
      <c r="AE27" s="76">
        <f t="shared" si="27"/>
        <v>826.64192778306733</v>
      </c>
      <c r="AF27" s="76">
        <f t="shared" si="27"/>
        <v>824.86464473359501</v>
      </c>
      <c r="AG27" s="76">
        <f t="shared" si="27"/>
        <v>823.14469339539482</v>
      </c>
      <c r="AH27" s="76">
        <f t="shared" si="27"/>
        <v>821.36741034592251</v>
      </c>
      <c r="AI27" s="76">
        <f t="shared" si="27"/>
        <v>819.64745900772232</v>
      </c>
      <c r="AJ27" s="76">
        <f t="shared" si="27"/>
        <v>817.87017595825</v>
      </c>
      <c r="AK27" s="76">
        <f t="shared" si="27"/>
        <v>816.09289290877678</v>
      </c>
      <c r="AL27" s="76">
        <f t="shared" si="27"/>
        <v>814.48760499312357</v>
      </c>
      <c r="AM27" s="76">
        <f t="shared" si="27"/>
        <v>812.71032194365125</v>
      </c>
      <c r="AN27" s="76">
        <f t="shared" si="27"/>
        <v>810.99037060545197</v>
      </c>
      <c r="AO27" s="76">
        <f t="shared" si="27"/>
        <v>809.21308755597875</v>
      </c>
      <c r="AP27" s="76">
        <f t="shared" si="27"/>
        <v>807.49313621777947</v>
      </c>
      <c r="AQ27" s="76">
        <f t="shared" si="27"/>
        <v>805.71585316830624</v>
      </c>
      <c r="AR27" s="76">
        <f t="shared" si="27"/>
        <v>911.04040710180197</v>
      </c>
      <c r="AS27" s="76">
        <f t="shared" si="27"/>
        <v>953.99965284389464</v>
      </c>
      <c r="AT27" s="76">
        <f t="shared" si="27"/>
        <v>998.39087344405652</v>
      </c>
      <c r="AU27" s="76">
        <f t="shared" si="27"/>
        <v>1041.3501191861492</v>
      </c>
      <c r="AV27" s="76">
        <f t="shared" si="27"/>
        <v>1085.7413397863115</v>
      </c>
      <c r="AW27" s="76">
        <f t="shared" si="27"/>
        <v>1130.1325603864739</v>
      </c>
      <c r="AX27" s="76">
        <f t="shared" si="27"/>
        <v>1130.1325603864739</v>
      </c>
      <c r="AY27" s="76">
        <f t="shared" si="27"/>
        <v>1130.1325603864739</v>
      </c>
      <c r="AZ27" s="76">
        <f t="shared" si="27"/>
        <v>1130.1325603864739</v>
      </c>
      <c r="BA27" s="76">
        <f t="shared" si="27"/>
        <v>1130.1325603864739</v>
      </c>
      <c r="BB27" s="76">
        <f t="shared" si="27"/>
        <v>1130.1325603864739</v>
      </c>
      <c r="BC27" s="76">
        <f t="shared" ref="BC27:BH27" si="28">SUM(BC25:BC26)</f>
        <v>1130.1325603864739</v>
      </c>
      <c r="BE27" s="76">
        <f t="shared" si="28"/>
        <v>18869.635379746556</v>
      </c>
      <c r="BF27" s="76">
        <f t="shared" si="28"/>
        <v>10034.710546211092</v>
      </c>
      <c r="BG27" s="76">
        <f t="shared" si="28"/>
        <v>9783.5976508339518</v>
      </c>
      <c r="BH27" s="76">
        <f t="shared" si="28"/>
        <v>12901.450315067537</v>
      </c>
    </row>
    <row r="28" spans="2:60" ht="21" customHeight="1" x14ac:dyDescent="0.35">
      <c r="B28" s="62"/>
      <c r="C28" s="62"/>
      <c r="D28" s="62"/>
      <c r="E28" s="62"/>
    </row>
    <row r="29" spans="2:60" ht="21" customHeight="1" x14ac:dyDescent="0.35">
      <c r="B29" s="58" t="s">
        <v>57</v>
      </c>
      <c r="C29" s="53" t="s">
        <v>58</v>
      </c>
      <c r="D29" s="53" t="s">
        <v>153</v>
      </c>
      <c r="E29" s="53" t="s">
        <v>59</v>
      </c>
      <c r="F29" s="53" t="s">
        <v>60</v>
      </c>
      <c r="G29" s="53" t="s">
        <v>70</v>
      </c>
      <c r="H29" s="59">
        <f>H$4</f>
        <v>43708</v>
      </c>
      <c r="I29" s="59">
        <f t="shared" ref="I29:BC29" si="29">I$4</f>
        <v>43738</v>
      </c>
      <c r="J29" s="59">
        <f t="shared" si="29"/>
        <v>43769</v>
      </c>
      <c r="K29" s="59">
        <f t="shared" si="29"/>
        <v>43799</v>
      </c>
      <c r="L29" s="59">
        <f t="shared" si="29"/>
        <v>43830</v>
      </c>
      <c r="M29" s="59">
        <f t="shared" si="29"/>
        <v>43861</v>
      </c>
      <c r="N29" s="59">
        <f t="shared" si="29"/>
        <v>43890</v>
      </c>
      <c r="O29" s="59">
        <f t="shared" si="29"/>
        <v>43921</v>
      </c>
      <c r="P29" s="59">
        <f t="shared" si="29"/>
        <v>43951</v>
      </c>
      <c r="Q29" s="59">
        <f t="shared" si="29"/>
        <v>43982</v>
      </c>
      <c r="R29" s="59">
        <f t="shared" si="29"/>
        <v>44012</v>
      </c>
      <c r="S29" s="59">
        <f t="shared" si="29"/>
        <v>44043</v>
      </c>
      <c r="T29" s="59">
        <f t="shared" si="29"/>
        <v>44074</v>
      </c>
      <c r="U29" s="59">
        <f t="shared" si="29"/>
        <v>44104</v>
      </c>
      <c r="V29" s="59">
        <f t="shared" si="29"/>
        <v>44135</v>
      </c>
      <c r="W29" s="59">
        <f t="shared" si="29"/>
        <v>44165</v>
      </c>
      <c r="X29" s="59">
        <f t="shared" si="29"/>
        <v>44196</v>
      </c>
      <c r="Y29" s="59">
        <f t="shared" si="29"/>
        <v>44227</v>
      </c>
      <c r="Z29" s="59">
        <f t="shared" si="29"/>
        <v>44255</v>
      </c>
      <c r="AA29" s="59">
        <f t="shared" si="29"/>
        <v>44286</v>
      </c>
      <c r="AB29" s="59">
        <f t="shared" si="29"/>
        <v>44316</v>
      </c>
      <c r="AC29" s="59">
        <f t="shared" si="29"/>
        <v>44347</v>
      </c>
      <c r="AD29" s="59">
        <f t="shared" si="29"/>
        <v>44377</v>
      </c>
      <c r="AE29" s="59">
        <f t="shared" si="29"/>
        <v>44408</v>
      </c>
      <c r="AF29" s="59">
        <f t="shared" si="29"/>
        <v>44439</v>
      </c>
      <c r="AG29" s="59">
        <f t="shared" si="29"/>
        <v>44469</v>
      </c>
      <c r="AH29" s="59">
        <f t="shared" si="29"/>
        <v>44500</v>
      </c>
      <c r="AI29" s="59">
        <f t="shared" si="29"/>
        <v>44530</v>
      </c>
      <c r="AJ29" s="59">
        <f t="shared" si="29"/>
        <v>44561</v>
      </c>
      <c r="AK29" s="59">
        <f t="shared" si="29"/>
        <v>44592</v>
      </c>
      <c r="AL29" s="59">
        <f t="shared" si="29"/>
        <v>44620</v>
      </c>
      <c r="AM29" s="59">
        <f t="shared" si="29"/>
        <v>44651</v>
      </c>
      <c r="AN29" s="59">
        <f t="shared" si="29"/>
        <v>44681</v>
      </c>
      <c r="AO29" s="59">
        <f t="shared" si="29"/>
        <v>44712</v>
      </c>
      <c r="AP29" s="59">
        <f t="shared" si="29"/>
        <v>44742</v>
      </c>
      <c r="AQ29" s="59">
        <f t="shared" si="29"/>
        <v>44773</v>
      </c>
      <c r="AR29" s="59">
        <f t="shared" si="29"/>
        <v>44804</v>
      </c>
      <c r="AS29" s="59">
        <f t="shared" si="29"/>
        <v>44834</v>
      </c>
      <c r="AT29" s="59">
        <f t="shared" si="29"/>
        <v>44865</v>
      </c>
      <c r="AU29" s="59">
        <f t="shared" si="29"/>
        <v>44895</v>
      </c>
      <c r="AV29" s="59">
        <f t="shared" si="29"/>
        <v>44926</v>
      </c>
      <c r="AW29" s="59">
        <f t="shared" si="29"/>
        <v>44957</v>
      </c>
      <c r="AX29" s="59">
        <f t="shared" si="29"/>
        <v>44985</v>
      </c>
      <c r="AY29" s="59">
        <f t="shared" si="29"/>
        <v>45016</v>
      </c>
      <c r="AZ29" s="59">
        <f t="shared" si="29"/>
        <v>45046</v>
      </c>
      <c r="BA29" s="59">
        <f t="shared" si="29"/>
        <v>45077</v>
      </c>
      <c r="BB29" s="59">
        <f t="shared" si="29"/>
        <v>45107</v>
      </c>
      <c r="BC29" s="59">
        <f t="shared" si="29"/>
        <v>45138</v>
      </c>
      <c r="BE29" s="72">
        <f>BE$3</f>
        <v>1</v>
      </c>
      <c r="BF29" s="72">
        <f>BF$3</f>
        <v>2</v>
      </c>
      <c r="BG29" s="72">
        <f>BG$3</f>
        <v>3</v>
      </c>
      <c r="BH29" s="72">
        <f>BH$3</f>
        <v>4</v>
      </c>
    </row>
    <row r="30" spans="2:60" ht="21" customHeight="1" x14ac:dyDescent="0.35">
      <c r="B30" s="60" t="str">
        <f>$B$7</f>
        <v>HCH Capitation Funding - Implementation</v>
      </c>
      <c r="C30" s="48">
        <f>IF(C7="","",C7)</f>
        <v>43678</v>
      </c>
      <c r="D30" s="48">
        <f>IF(D7="","",D7)</f>
        <v>44773</v>
      </c>
      <c r="E30" s="47">
        <f>IF(E$7="","",E$7)</f>
        <v>1</v>
      </c>
      <c r="F30" s="76">
        <f>'Master Data'!F36</f>
        <v>0</v>
      </c>
      <c r="G30" s="76"/>
      <c r="H30" s="76">
        <f t="shared" ref="H30:W30" si="30">IFERROR(MIN(1,MAX(0,(EOMONTH(H$4,0)+1-$C30)/(EDATE($C30,$E30)-$C30)))*$F30/12+IF(H$3=1,$G30/12,0),0)</f>
        <v>0</v>
      </c>
      <c r="I30" s="76">
        <f t="shared" si="30"/>
        <v>0</v>
      </c>
      <c r="J30" s="76">
        <f t="shared" si="30"/>
        <v>0</v>
      </c>
      <c r="K30" s="76">
        <f t="shared" si="30"/>
        <v>0</v>
      </c>
      <c r="L30" s="76">
        <f t="shared" si="30"/>
        <v>0</v>
      </c>
      <c r="M30" s="76">
        <f t="shared" si="30"/>
        <v>0</v>
      </c>
      <c r="N30" s="76">
        <f t="shared" si="30"/>
        <v>0</v>
      </c>
      <c r="O30" s="76">
        <f t="shared" si="30"/>
        <v>0</v>
      </c>
      <c r="P30" s="76">
        <f t="shared" si="30"/>
        <v>0</v>
      </c>
      <c r="Q30" s="76">
        <f t="shared" si="30"/>
        <v>0</v>
      </c>
      <c r="R30" s="76">
        <f t="shared" si="30"/>
        <v>0</v>
      </c>
      <c r="S30" s="76">
        <f t="shared" si="30"/>
        <v>0</v>
      </c>
      <c r="T30" s="76">
        <f t="shared" si="30"/>
        <v>0</v>
      </c>
      <c r="U30" s="76">
        <f t="shared" si="30"/>
        <v>0</v>
      </c>
      <c r="V30" s="76">
        <f t="shared" si="30"/>
        <v>0</v>
      </c>
      <c r="W30" s="76">
        <f t="shared" si="30"/>
        <v>0</v>
      </c>
      <c r="X30" s="76">
        <f t="shared" ref="X30:BC30" si="31">IFERROR(MIN(1,MAX(0,(EOMONTH(X$4,0)+1-$C30)/(EDATE($C30,$E30)-$C30)))*$F30/12+IF(X$3=1,$G30/12,0),0)</f>
        <v>0</v>
      </c>
      <c r="Y30" s="76">
        <f t="shared" si="31"/>
        <v>0</v>
      </c>
      <c r="Z30" s="76">
        <f t="shared" si="31"/>
        <v>0</v>
      </c>
      <c r="AA30" s="76">
        <f t="shared" si="31"/>
        <v>0</v>
      </c>
      <c r="AB30" s="76">
        <f t="shared" si="31"/>
        <v>0</v>
      </c>
      <c r="AC30" s="76">
        <f t="shared" si="31"/>
        <v>0</v>
      </c>
      <c r="AD30" s="76">
        <f t="shared" si="31"/>
        <v>0</v>
      </c>
      <c r="AE30" s="76">
        <f t="shared" si="31"/>
        <v>0</v>
      </c>
      <c r="AF30" s="76">
        <f t="shared" si="31"/>
        <v>0</v>
      </c>
      <c r="AG30" s="76">
        <f t="shared" si="31"/>
        <v>0</v>
      </c>
      <c r="AH30" s="76">
        <f t="shared" si="31"/>
        <v>0</v>
      </c>
      <c r="AI30" s="76">
        <f t="shared" si="31"/>
        <v>0</v>
      </c>
      <c r="AJ30" s="76">
        <f t="shared" si="31"/>
        <v>0</v>
      </c>
      <c r="AK30" s="76">
        <f t="shared" si="31"/>
        <v>0</v>
      </c>
      <c r="AL30" s="76">
        <f t="shared" si="31"/>
        <v>0</v>
      </c>
      <c r="AM30" s="76">
        <f t="shared" si="31"/>
        <v>0</v>
      </c>
      <c r="AN30" s="76">
        <f t="shared" si="31"/>
        <v>0</v>
      </c>
      <c r="AO30" s="76">
        <f t="shared" si="31"/>
        <v>0</v>
      </c>
      <c r="AP30" s="76">
        <f t="shared" si="31"/>
        <v>0</v>
      </c>
      <c r="AQ30" s="76">
        <f t="shared" si="31"/>
        <v>0</v>
      </c>
      <c r="AR30" s="76">
        <f t="shared" si="31"/>
        <v>0</v>
      </c>
      <c r="AS30" s="76">
        <f t="shared" si="31"/>
        <v>0</v>
      </c>
      <c r="AT30" s="76">
        <f t="shared" si="31"/>
        <v>0</v>
      </c>
      <c r="AU30" s="76">
        <f t="shared" si="31"/>
        <v>0</v>
      </c>
      <c r="AV30" s="76">
        <f t="shared" si="31"/>
        <v>0</v>
      </c>
      <c r="AW30" s="76">
        <f t="shared" si="31"/>
        <v>0</v>
      </c>
      <c r="AX30" s="76">
        <f t="shared" si="31"/>
        <v>0</v>
      </c>
      <c r="AY30" s="76">
        <f t="shared" si="31"/>
        <v>0</v>
      </c>
      <c r="AZ30" s="76">
        <f t="shared" si="31"/>
        <v>0</v>
      </c>
      <c r="BA30" s="76">
        <f t="shared" si="31"/>
        <v>0</v>
      </c>
      <c r="BB30" s="76">
        <f t="shared" si="31"/>
        <v>0</v>
      </c>
      <c r="BC30" s="76">
        <f t="shared" si="31"/>
        <v>0</v>
      </c>
      <c r="BE30" s="76">
        <f t="shared" ref="BE30:BE46" si="32">SUMIF($H$3:$BD$3,BE$3,$H30:$BD30)</f>
        <v>0</v>
      </c>
      <c r="BF30" s="76">
        <f t="shared" ref="BF30:BH45" si="33">SUMIF($H$3:$BD$3,BF$3,$H30:$BD30)</f>
        <v>0</v>
      </c>
      <c r="BG30" s="76">
        <f t="shared" si="33"/>
        <v>0</v>
      </c>
      <c r="BH30" s="76">
        <f t="shared" si="33"/>
        <v>0</v>
      </c>
    </row>
    <row r="31" spans="2:60" ht="21" customHeight="1" x14ac:dyDescent="0.35">
      <c r="B31" s="60" t="str">
        <f>$B$8</f>
        <v>HCH Capitation Funding - At Risk</v>
      </c>
      <c r="C31" s="48">
        <f>IF($C$8="","",$C$8)</f>
        <v>43678</v>
      </c>
      <c r="D31" s="48">
        <f t="shared" ref="D31:D46" si="34">IF(D8="","",D8)</f>
        <v>44773</v>
      </c>
      <c r="E31" s="47">
        <f>IF(E$8="","",E$8)</f>
        <v>1</v>
      </c>
      <c r="F31" s="76">
        <f>'Master Data'!F37</f>
        <v>0</v>
      </c>
      <c r="G31" s="76"/>
      <c r="H31" s="76">
        <f t="shared" ref="H31:BC31" si="35">IF(OR(H$4=EOMONTH($C31,11),H$4=EOMONTH($C31,23),H$4=EOMONTH($C31,35)),$F31,0)</f>
        <v>0</v>
      </c>
      <c r="I31" s="76">
        <f t="shared" si="35"/>
        <v>0</v>
      </c>
      <c r="J31" s="76">
        <f t="shared" si="35"/>
        <v>0</v>
      </c>
      <c r="K31" s="76">
        <f t="shared" si="35"/>
        <v>0</v>
      </c>
      <c r="L31" s="76">
        <f t="shared" si="35"/>
        <v>0</v>
      </c>
      <c r="M31" s="76">
        <f t="shared" si="35"/>
        <v>0</v>
      </c>
      <c r="N31" s="76">
        <f t="shared" si="35"/>
        <v>0</v>
      </c>
      <c r="O31" s="76">
        <f t="shared" si="35"/>
        <v>0</v>
      </c>
      <c r="P31" s="76">
        <f t="shared" si="35"/>
        <v>0</v>
      </c>
      <c r="Q31" s="76">
        <f t="shared" si="35"/>
        <v>0</v>
      </c>
      <c r="R31" s="76">
        <f t="shared" si="35"/>
        <v>0</v>
      </c>
      <c r="S31" s="76">
        <f t="shared" si="35"/>
        <v>0</v>
      </c>
      <c r="T31" s="76">
        <f t="shared" si="35"/>
        <v>0</v>
      </c>
      <c r="U31" s="76">
        <f t="shared" si="35"/>
        <v>0</v>
      </c>
      <c r="V31" s="76">
        <f t="shared" si="35"/>
        <v>0</v>
      </c>
      <c r="W31" s="76">
        <f t="shared" si="35"/>
        <v>0</v>
      </c>
      <c r="X31" s="76">
        <f t="shared" si="35"/>
        <v>0</v>
      </c>
      <c r="Y31" s="76">
        <f t="shared" si="35"/>
        <v>0</v>
      </c>
      <c r="Z31" s="76">
        <f t="shared" si="35"/>
        <v>0</v>
      </c>
      <c r="AA31" s="76">
        <f t="shared" si="35"/>
        <v>0</v>
      </c>
      <c r="AB31" s="76">
        <f t="shared" si="35"/>
        <v>0</v>
      </c>
      <c r="AC31" s="76">
        <f t="shared" si="35"/>
        <v>0</v>
      </c>
      <c r="AD31" s="76">
        <f t="shared" si="35"/>
        <v>0</v>
      </c>
      <c r="AE31" s="76">
        <f t="shared" si="35"/>
        <v>0</v>
      </c>
      <c r="AF31" s="76">
        <f t="shared" si="35"/>
        <v>0</v>
      </c>
      <c r="AG31" s="76">
        <f t="shared" si="35"/>
        <v>0</v>
      </c>
      <c r="AH31" s="76">
        <f t="shared" si="35"/>
        <v>0</v>
      </c>
      <c r="AI31" s="76">
        <f t="shared" si="35"/>
        <v>0</v>
      </c>
      <c r="AJ31" s="76">
        <f t="shared" si="35"/>
        <v>0</v>
      </c>
      <c r="AK31" s="76">
        <f t="shared" si="35"/>
        <v>0</v>
      </c>
      <c r="AL31" s="76">
        <f t="shared" si="35"/>
        <v>0</v>
      </c>
      <c r="AM31" s="76">
        <f t="shared" si="35"/>
        <v>0</v>
      </c>
      <c r="AN31" s="76">
        <f t="shared" si="35"/>
        <v>0</v>
      </c>
      <c r="AO31" s="76">
        <f t="shared" si="35"/>
        <v>0</v>
      </c>
      <c r="AP31" s="76">
        <f t="shared" si="35"/>
        <v>0</v>
      </c>
      <c r="AQ31" s="76">
        <f t="shared" si="35"/>
        <v>0</v>
      </c>
      <c r="AR31" s="76">
        <f t="shared" si="35"/>
        <v>0</v>
      </c>
      <c r="AS31" s="76">
        <f t="shared" si="35"/>
        <v>0</v>
      </c>
      <c r="AT31" s="76">
        <f t="shared" si="35"/>
        <v>0</v>
      </c>
      <c r="AU31" s="76">
        <f t="shared" si="35"/>
        <v>0</v>
      </c>
      <c r="AV31" s="76">
        <f t="shared" si="35"/>
        <v>0</v>
      </c>
      <c r="AW31" s="76">
        <f t="shared" si="35"/>
        <v>0</v>
      </c>
      <c r="AX31" s="76">
        <f t="shared" si="35"/>
        <v>0</v>
      </c>
      <c r="AY31" s="76">
        <f t="shared" si="35"/>
        <v>0</v>
      </c>
      <c r="AZ31" s="76">
        <f t="shared" si="35"/>
        <v>0</v>
      </c>
      <c r="BA31" s="76">
        <f t="shared" si="35"/>
        <v>0</v>
      </c>
      <c r="BB31" s="76">
        <f t="shared" si="35"/>
        <v>0</v>
      </c>
      <c r="BC31" s="76">
        <f t="shared" si="35"/>
        <v>0</v>
      </c>
      <c r="BE31" s="76">
        <f t="shared" si="32"/>
        <v>0</v>
      </c>
      <c r="BF31" s="76">
        <f t="shared" si="33"/>
        <v>0</v>
      </c>
      <c r="BG31" s="76">
        <f t="shared" si="33"/>
        <v>0</v>
      </c>
      <c r="BH31" s="76">
        <f t="shared" si="33"/>
        <v>0</v>
      </c>
    </row>
    <row r="32" spans="2:60" ht="21" customHeight="1" x14ac:dyDescent="0.35">
      <c r="B32" s="60" t="str">
        <f>$B$9</f>
        <v>Equity</v>
      </c>
      <c r="C32" s="48" t="str">
        <f>IF($C$9="","",$C$9)</f>
        <v/>
      </c>
      <c r="D32" s="48" t="str">
        <f t="shared" si="34"/>
        <v/>
      </c>
      <c r="E32" s="47" t="str">
        <f>IF(E$9="","",E$9)</f>
        <v/>
      </c>
      <c r="F32" s="76"/>
      <c r="G32" s="76"/>
      <c r="H32" s="76">
        <f>IFERROR(MIN(1,MAX(0,(EOMONTH(H$4,0)+1-$C32)/(EDATE($C32,$E32)-$C32)))*$F32/12+IF(H$3=1,$G32/12,0),0)</f>
        <v>0</v>
      </c>
      <c r="I32" s="76">
        <f>IFERROR(MIN(1,MAX(0,(EOMONTH(I$4,0)+1-$C32)/(EDATE($C32,$E32)-$C32)))*$F32/12+IF(I$3=1,$G32/12,0),0)</f>
        <v>0</v>
      </c>
      <c r="J32" s="76">
        <f>IFERROR(MIN(1,MAX(0,(EOMONTH(J$4,0)+1-$C32)/(EDATE($C32,$E32)-$C32)))*$F32/12+IF(J$3=1,$G32/12,0),0)</f>
        <v>0</v>
      </c>
      <c r="K32" s="76">
        <f>IFERROR(MIN(1,MAX(0,(EOMONTH(K$4,0)+1-$C32)/(EDATE($C32,$E32)-$C32)))*$F32/12+IF(K$3=1,$G32/12,0),0)</f>
        <v>0</v>
      </c>
      <c r="L32" s="76">
        <f>IFERROR(MIN(1,MAX(0,(EOMONTH(L$4,0)+1-$C32)/(EDATE($C32,$E32)-$C32)))*$F32/12+IF(L$3=1,$G32/12,0),0)</f>
        <v>0</v>
      </c>
      <c r="M32" s="76">
        <f t="shared" ref="M32:BC38" si="36">IF(M$4&lt;$C32,0,IFERROR(MIN(1,MAX(0,(EOMONTH(M$4,0)+1-$C32)/(EDATE($C32,$E32)-$C32)))*$F32/12+IF(M$3=1,$G32/12,0),0))</f>
        <v>0</v>
      </c>
      <c r="N32" s="76">
        <f t="shared" si="36"/>
        <v>0</v>
      </c>
      <c r="O32" s="76">
        <f t="shared" si="36"/>
        <v>0</v>
      </c>
      <c r="P32" s="76">
        <f t="shared" si="36"/>
        <v>0</v>
      </c>
      <c r="Q32" s="76">
        <f t="shared" si="36"/>
        <v>0</v>
      </c>
      <c r="R32" s="76">
        <f t="shared" si="36"/>
        <v>0</v>
      </c>
      <c r="S32" s="76">
        <f t="shared" si="36"/>
        <v>0</v>
      </c>
      <c r="T32" s="76">
        <f t="shared" si="36"/>
        <v>0</v>
      </c>
      <c r="U32" s="76">
        <f t="shared" si="36"/>
        <v>0</v>
      </c>
      <c r="V32" s="76">
        <f t="shared" si="36"/>
        <v>0</v>
      </c>
      <c r="W32" s="76">
        <f t="shared" si="36"/>
        <v>0</v>
      </c>
      <c r="X32" s="76">
        <f t="shared" si="36"/>
        <v>0</v>
      </c>
      <c r="Y32" s="76">
        <f t="shared" si="36"/>
        <v>0</v>
      </c>
      <c r="Z32" s="76">
        <f t="shared" si="36"/>
        <v>0</v>
      </c>
      <c r="AA32" s="76">
        <f t="shared" si="36"/>
        <v>0</v>
      </c>
      <c r="AB32" s="76">
        <f t="shared" si="36"/>
        <v>0</v>
      </c>
      <c r="AC32" s="76">
        <f t="shared" si="36"/>
        <v>0</v>
      </c>
      <c r="AD32" s="76">
        <f t="shared" si="36"/>
        <v>0</v>
      </c>
      <c r="AE32" s="76">
        <f t="shared" si="36"/>
        <v>0</v>
      </c>
      <c r="AF32" s="76">
        <f t="shared" si="36"/>
        <v>0</v>
      </c>
      <c r="AG32" s="76">
        <f t="shared" si="36"/>
        <v>0</v>
      </c>
      <c r="AH32" s="76">
        <f t="shared" si="36"/>
        <v>0</v>
      </c>
      <c r="AI32" s="76">
        <f t="shared" si="36"/>
        <v>0</v>
      </c>
      <c r="AJ32" s="76">
        <f t="shared" si="36"/>
        <v>0</v>
      </c>
      <c r="AK32" s="76">
        <f t="shared" si="36"/>
        <v>0</v>
      </c>
      <c r="AL32" s="76">
        <f t="shared" si="36"/>
        <v>0</v>
      </c>
      <c r="AM32" s="76">
        <f t="shared" si="36"/>
        <v>0</v>
      </c>
      <c r="AN32" s="76">
        <f t="shared" si="36"/>
        <v>0</v>
      </c>
      <c r="AO32" s="76">
        <f t="shared" si="36"/>
        <v>0</v>
      </c>
      <c r="AP32" s="76">
        <f t="shared" si="36"/>
        <v>0</v>
      </c>
      <c r="AQ32" s="76">
        <f t="shared" si="36"/>
        <v>0</v>
      </c>
      <c r="AR32" s="76">
        <f t="shared" si="36"/>
        <v>0</v>
      </c>
      <c r="AS32" s="76">
        <f t="shared" si="36"/>
        <v>0</v>
      </c>
      <c r="AT32" s="76">
        <f t="shared" si="36"/>
        <v>0</v>
      </c>
      <c r="AU32" s="76">
        <f t="shared" si="36"/>
        <v>0</v>
      </c>
      <c r="AV32" s="76">
        <f t="shared" si="36"/>
        <v>0</v>
      </c>
      <c r="AW32" s="76">
        <f t="shared" si="36"/>
        <v>0</v>
      </c>
      <c r="AX32" s="76">
        <f t="shared" si="36"/>
        <v>0</v>
      </c>
      <c r="AY32" s="76">
        <f t="shared" si="36"/>
        <v>0</v>
      </c>
      <c r="AZ32" s="76">
        <f t="shared" si="36"/>
        <v>0</v>
      </c>
      <c r="BA32" s="76">
        <f t="shared" si="36"/>
        <v>0</v>
      </c>
      <c r="BB32" s="76">
        <f t="shared" si="36"/>
        <v>0</v>
      </c>
      <c r="BC32" s="76">
        <f t="shared" si="36"/>
        <v>0</v>
      </c>
      <c r="BD32" s="61"/>
      <c r="BE32" s="76">
        <f t="shared" si="32"/>
        <v>0</v>
      </c>
      <c r="BF32" s="76">
        <f t="shared" si="33"/>
        <v>0</v>
      </c>
      <c r="BG32" s="76">
        <f t="shared" si="33"/>
        <v>0</v>
      </c>
      <c r="BH32" s="76">
        <f t="shared" si="33"/>
        <v>0</v>
      </c>
    </row>
    <row r="33" spans="2:60" ht="21" customHeight="1" x14ac:dyDescent="0.35">
      <c r="B33" s="60" t="str">
        <f>$B$10</f>
        <v>Call Management</v>
      </c>
      <c r="C33" s="48">
        <f>C10</f>
        <v>43678</v>
      </c>
      <c r="D33" s="48" t="str">
        <f t="shared" si="34"/>
        <v/>
      </c>
      <c r="E33" s="47">
        <f>E10</f>
        <v>1</v>
      </c>
      <c r="F33" s="76">
        <f>'Call Management'!F18</f>
        <v>0</v>
      </c>
      <c r="G33" s="76">
        <f>'Call Management'!F10</f>
        <v>2000</v>
      </c>
      <c r="H33" s="76">
        <f t="shared" ref="H33:L46" si="37">IFERROR(MIN(1,MAX(0,(EOMONTH(H$4,0)+1-$C33)/(EDATE($C33,$E33)-$C33)))*$F33/12+IF(H$3=1,$G33/12,0),0)</f>
        <v>166.66666666666666</v>
      </c>
      <c r="I33" s="76">
        <f t="shared" si="37"/>
        <v>166.66666666666666</v>
      </c>
      <c r="J33" s="76">
        <f t="shared" si="37"/>
        <v>166.66666666666666</v>
      </c>
      <c r="K33" s="76">
        <f t="shared" si="37"/>
        <v>166.66666666666666</v>
      </c>
      <c r="L33" s="76">
        <f t="shared" si="37"/>
        <v>166.66666666666666</v>
      </c>
      <c r="M33" s="76">
        <f t="shared" ref="M33:W33" si="38">IF(M$4&lt;$C33,0,IFERROR(MIN(1,MAX(0,(EOMONTH(M$4,0)+1-$C33)/(EDATE($C33,$E33)-$C33)))*$F33/12+IF(M$3=1,$G33/12,0),0))</f>
        <v>166.66666666666666</v>
      </c>
      <c r="N33" s="76">
        <f t="shared" si="38"/>
        <v>166.66666666666666</v>
      </c>
      <c r="O33" s="76">
        <f t="shared" si="38"/>
        <v>166.66666666666666</v>
      </c>
      <c r="P33" s="76">
        <f t="shared" si="38"/>
        <v>166.66666666666666</v>
      </c>
      <c r="Q33" s="76">
        <f t="shared" si="38"/>
        <v>166.66666666666666</v>
      </c>
      <c r="R33" s="76">
        <f t="shared" si="38"/>
        <v>166.66666666666666</v>
      </c>
      <c r="S33" s="76">
        <f t="shared" si="38"/>
        <v>166.66666666666666</v>
      </c>
      <c r="T33" s="76">
        <f t="shared" si="38"/>
        <v>0</v>
      </c>
      <c r="U33" s="76">
        <f t="shared" si="38"/>
        <v>0</v>
      </c>
      <c r="V33" s="76">
        <f t="shared" si="38"/>
        <v>0</v>
      </c>
      <c r="W33" s="76">
        <f t="shared" si="38"/>
        <v>0</v>
      </c>
      <c r="X33" s="76">
        <f t="shared" si="36"/>
        <v>0</v>
      </c>
      <c r="Y33" s="76">
        <f t="shared" si="36"/>
        <v>0</v>
      </c>
      <c r="Z33" s="76">
        <f t="shared" si="36"/>
        <v>0</v>
      </c>
      <c r="AA33" s="76">
        <f t="shared" si="36"/>
        <v>0</v>
      </c>
      <c r="AB33" s="76">
        <f t="shared" si="36"/>
        <v>0</v>
      </c>
      <c r="AC33" s="76">
        <f t="shared" si="36"/>
        <v>0</v>
      </c>
      <c r="AD33" s="76">
        <f t="shared" si="36"/>
        <v>0</v>
      </c>
      <c r="AE33" s="76">
        <f t="shared" si="36"/>
        <v>0</v>
      </c>
      <c r="AF33" s="76">
        <f t="shared" si="36"/>
        <v>0</v>
      </c>
      <c r="AG33" s="76">
        <f t="shared" si="36"/>
        <v>0</v>
      </c>
      <c r="AH33" s="76">
        <f t="shared" si="36"/>
        <v>0</v>
      </c>
      <c r="AI33" s="76">
        <f t="shared" si="36"/>
        <v>0</v>
      </c>
      <c r="AJ33" s="76">
        <f t="shared" si="36"/>
        <v>0</v>
      </c>
      <c r="AK33" s="76">
        <f t="shared" si="36"/>
        <v>0</v>
      </c>
      <c r="AL33" s="76">
        <f t="shared" si="36"/>
        <v>0</v>
      </c>
      <c r="AM33" s="76">
        <f t="shared" si="36"/>
        <v>0</v>
      </c>
      <c r="AN33" s="76">
        <f t="shared" si="36"/>
        <v>0</v>
      </c>
      <c r="AO33" s="76">
        <f t="shared" si="36"/>
        <v>0</v>
      </c>
      <c r="AP33" s="76">
        <f t="shared" si="36"/>
        <v>0</v>
      </c>
      <c r="AQ33" s="76">
        <f t="shared" si="36"/>
        <v>0</v>
      </c>
      <c r="AR33" s="76">
        <f t="shared" si="36"/>
        <v>0</v>
      </c>
      <c r="AS33" s="76">
        <f t="shared" si="36"/>
        <v>0</v>
      </c>
      <c r="AT33" s="76">
        <f t="shared" si="36"/>
        <v>0</v>
      </c>
      <c r="AU33" s="76">
        <f t="shared" si="36"/>
        <v>0</v>
      </c>
      <c r="AV33" s="76">
        <f t="shared" si="36"/>
        <v>0</v>
      </c>
      <c r="AW33" s="76">
        <f t="shared" si="36"/>
        <v>0</v>
      </c>
      <c r="AX33" s="76">
        <f t="shared" si="36"/>
        <v>0</v>
      </c>
      <c r="AY33" s="76">
        <f t="shared" si="36"/>
        <v>0</v>
      </c>
      <c r="AZ33" s="76">
        <f t="shared" si="36"/>
        <v>0</v>
      </c>
      <c r="BA33" s="76">
        <f t="shared" si="36"/>
        <v>0</v>
      </c>
      <c r="BB33" s="76">
        <f t="shared" si="36"/>
        <v>0</v>
      </c>
      <c r="BC33" s="76">
        <f t="shared" si="36"/>
        <v>0</v>
      </c>
      <c r="BD33" s="61"/>
      <c r="BE33" s="76">
        <f t="shared" si="32"/>
        <v>2000.0000000000002</v>
      </c>
      <c r="BF33" s="76">
        <f t="shared" si="33"/>
        <v>0</v>
      </c>
      <c r="BG33" s="76">
        <f t="shared" si="33"/>
        <v>0</v>
      </c>
      <c r="BH33" s="76">
        <f t="shared" si="33"/>
        <v>0</v>
      </c>
    </row>
    <row r="34" spans="2:60" ht="21" customHeight="1" x14ac:dyDescent="0.35">
      <c r="B34" s="60" t="str">
        <f>$B$11</f>
        <v>GP triage</v>
      </c>
      <c r="C34" s="48">
        <f>C11</f>
        <v>43739</v>
      </c>
      <c r="D34" s="48" t="str">
        <f t="shared" si="34"/>
        <v/>
      </c>
      <c r="E34" s="47">
        <f>E11</f>
        <v>3</v>
      </c>
      <c r="F34" s="76">
        <f>'GP Triage'!$G$31</f>
        <v>0</v>
      </c>
      <c r="G34" s="76">
        <f>'GP Triage'!$C$31</f>
        <v>0</v>
      </c>
      <c r="H34" s="76">
        <f t="shared" si="37"/>
        <v>0</v>
      </c>
      <c r="I34" s="76">
        <f t="shared" si="37"/>
        <v>0</v>
      </c>
      <c r="J34" s="76">
        <f t="shared" si="37"/>
        <v>0</v>
      </c>
      <c r="K34" s="76">
        <f t="shared" si="37"/>
        <v>0</v>
      </c>
      <c r="L34" s="76">
        <f t="shared" si="37"/>
        <v>0</v>
      </c>
      <c r="M34" s="76">
        <f t="shared" ref="M34:O46" si="39">IF(M$4&lt;$C34,0,IFERROR(MIN(1,MAX(0,(EOMONTH(M$4,0)+1-$C34)/(EDATE($C34,$E34)-$C34)))*$F34/12+IF(M$3=1,$G34/12,0),0))</f>
        <v>0</v>
      </c>
      <c r="N34" s="76">
        <f t="shared" si="39"/>
        <v>0</v>
      </c>
      <c r="O34" s="76">
        <f t="shared" si="39"/>
        <v>0</v>
      </c>
      <c r="P34" s="76">
        <f t="shared" si="36"/>
        <v>0</v>
      </c>
      <c r="Q34" s="76">
        <f t="shared" si="36"/>
        <v>0</v>
      </c>
      <c r="R34" s="76">
        <f t="shared" si="36"/>
        <v>0</v>
      </c>
      <c r="S34" s="76">
        <f t="shared" si="36"/>
        <v>0</v>
      </c>
      <c r="T34" s="76">
        <f t="shared" si="36"/>
        <v>0</v>
      </c>
      <c r="U34" s="76">
        <f t="shared" si="36"/>
        <v>0</v>
      </c>
      <c r="V34" s="76">
        <f t="shared" si="36"/>
        <v>0</v>
      </c>
      <c r="W34" s="76">
        <f t="shared" si="36"/>
        <v>0</v>
      </c>
      <c r="X34" s="76">
        <f t="shared" si="36"/>
        <v>0</v>
      </c>
      <c r="Y34" s="76">
        <f t="shared" si="36"/>
        <v>0</v>
      </c>
      <c r="Z34" s="76">
        <f t="shared" si="36"/>
        <v>0</v>
      </c>
      <c r="AA34" s="76">
        <f t="shared" si="36"/>
        <v>0</v>
      </c>
      <c r="AB34" s="76">
        <f t="shared" si="36"/>
        <v>0</v>
      </c>
      <c r="AC34" s="76">
        <f t="shared" si="36"/>
        <v>0</v>
      </c>
      <c r="AD34" s="76">
        <f t="shared" si="36"/>
        <v>0</v>
      </c>
      <c r="AE34" s="76">
        <f t="shared" si="36"/>
        <v>0</v>
      </c>
      <c r="AF34" s="76">
        <f t="shared" si="36"/>
        <v>0</v>
      </c>
      <c r="AG34" s="76">
        <f t="shared" si="36"/>
        <v>0</v>
      </c>
      <c r="AH34" s="76">
        <f t="shared" si="36"/>
        <v>0</v>
      </c>
      <c r="AI34" s="76">
        <f t="shared" si="36"/>
        <v>0</v>
      </c>
      <c r="AJ34" s="76">
        <f t="shared" si="36"/>
        <v>0</v>
      </c>
      <c r="AK34" s="76">
        <f t="shared" si="36"/>
        <v>0</v>
      </c>
      <c r="AL34" s="76">
        <f t="shared" si="36"/>
        <v>0</v>
      </c>
      <c r="AM34" s="76">
        <f t="shared" si="36"/>
        <v>0</v>
      </c>
      <c r="AN34" s="76">
        <f t="shared" si="36"/>
        <v>0</v>
      </c>
      <c r="AO34" s="76">
        <f t="shared" si="36"/>
        <v>0</v>
      </c>
      <c r="AP34" s="76">
        <f t="shared" si="36"/>
        <v>0</v>
      </c>
      <c r="AQ34" s="76">
        <f t="shared" si="36"/>
        <v>0</v>
      </c>
      <c r="AR34" s="76">
        <f t="shared" si="36"/>
        <v>0</v>
      </c>
      <c r="AS34" s="76">
        <f t="shared" si="36"/>
        <v>0</v>
      </c>
      <c r="AT34" s="76">
        <f t="shared" si="36"/>
        <v>0</v>
      </c>
      <c r="AU34" s="76">
        <f t="shared" si="36"/>
        <v>0</v>
      </c>
      <c r="AV34" s="76">
        <f t="shared" si="36"/>
        <v>0</v>
      </c>
      <c r="AW34" s="76">
        <f t="shared" si="36"/>
        <v>0</v>
      </c>
      <c r="AX34" s="76">
        <f t="shared" si="36"/>
        <v>0</v>
      </c>
      <c r="AY34" s="76">
        <f t="shared" si="36"/>
        <v>0</v>
      </c>
      <c r="AZ34" s="76">
        <f t="shared" si="36"/>
        <v>0</v>
      </c>
      <c r="BA34" s="76">
        <f t="shared" si="36"/>
        <v>0</v>
      </c>
      <c r="BB34" s="76">
        <f t="shared" si="36"/>
        <v>0</v>
      </c>
      <c r="BC34" s="76">
        <f t="shared" si="36"/>
        <v>0</v>
      </c>
      <c r="BD34" s="61"/>
      <c r="BE34" s="76">
        <f t="shared" si="32"/>
        <v>0</v>
      </c>
      <c r="BF34" s="76">
        <f t="shared" si="33"/>
        <v>0</v>
      </c>
      <c r="BG34" s="76">
        <f t="shared" si="33"/>
        <v>0</v>
      </c>
      <c r="BH34" s="76">
        <f t="shared" si="33"/>
        <v>0</v>
      </c>
    </row>
    <row r="35" spans="2:60" ht="21" customHeight="1" x14ac:dyDescent="0.35">
      <c r="B35" s="60" t="str">
        <f>$B$12</f>
        <v>YOC</v>
      </c>
      <c r="C35" s="48">
        <f>IF($C$12="","",$C$12)</f>
        <v>43862</v>
      </c>
      <c r="D35" s="48" t="str">
        <f t="shared" si="34"/>
        <v/>
      </c>
      <c r="E35" s="47">
        <f>IF(E$12="","",E$12)</f>
        <v>36</v>
      </c>
      <c r="F35" s="76">
        <f>IF(YOC_Include="Yes",YOC!C70,0)</f>
        <v>0</v>
      </c>
      <c r="G35" s="76">
        <f>YOC!C62</f>
        <v>0</v>
      </c>
      <c r="H35" s="76">
        <f t="shared" si="37"/>
        <v>0</v>
      </c>
      <c r="I35" s="76">
        <f t="shared" si="37"/>
        <v>0</v>
      </c>
      <c r="J35" s="76">
        <f t="shared" si="37"/>
        <v>0</v>
      </c>
      <c r="K35" s="76">
        <f t="shared" si="37"/>
        <v>0</v>
      </c>
      <c r="L35" s="76">
        <f t="shared" si="37"/>
        <v>0</v>
      </c>
      <c r="M35" s="76">
        <f t="shared" si="39"/>
        <v>0</v>
      </c>
      <c r="N35" s="76">
        <f t="shared" si="39"/>
        <v>0</v>
      </c>
      <c r="O35" s="76">
        <f t="shared" si="39"/>
        <v>0</v>
      </c>
      <c r="P35" s="76">
        <f t="shared" si="36"/>
        <v>0</v>
      </c>
      <c r="Q35" s="76">
        <f t="shared" si="36"/>
        <v>0</v>
      </c>
      <c r="R35" s="76">
        <f t="shared" si="36"/>
        <v>0</v>
      </c>
      <c r="S35" s="76">
        <f t="shared" si="36"/>
        <v>0</v>
      </c>
      <c r="T35" s="76">
        <f t="shared" si="36"/>
        <v>0</v>
      </c>
      <c r="U35" s="76">
        <f t="shared" si="36"/>
        <v>0</v>
      </c>
      <c r="V35" s="76">
        <f t="shared" si="36"/>
        <v>0</v>
      </c>
      <c r="W35" s="76">
        <f t="shared" si="36"/>
        <v>0</v>
      </c>
      <c r="X35" s="76">
        <f t="shared" si="36"/>
        <v>0</v>
      </c>
      <c r="Y35" s="76">
        <f t="shared" si="36"/>
        <v>0</v>
      </c>
      <c r="Z35" s="76">
        <f t="shared" si="36"/>
        <v>0</v>
      </c>
      <c r="AA35" s="76">
        <f t="shared" si="36"/>
        <v>0</v>
      </c>
      <c r="AB35" s="76">
        <f t="shared" si="36"/>
        <v>0</v>
      </c>
      <c r="AC35" s="76">
        <f t="shared" si="36"/>
        <v>0</v>
      </c>
      <c r="AD35" s="76">
        <f t="shared" si="36"/>
        <v>0</v>
      </c>
      <c r="AE35" s="76">
        <f t="shared" si="36"/>
        <v>0</v>
      </c>
      <c r="AF35" s="76">
        <f t="shared" si="36"/>
        <v>0</v>
      </c>
      <c r="AG35" s="76">
        <f t="shared" si="36"/>
        <v>0</v>
      </c>
      <c r="AH35" s="76">
        <f t="shared" si="36"/>
        <v>0</v>
      </c>
      <c r="AI35" s="76">
        <f t="shared" si="36"/>
        <v>0</v>
      </c>
      <c r="AJ35" s="76">
        <f t="shared" si="36"/>
        <v>0</v>
      </c>
      <c r="AK35" s="76">
        <f t="shared" si="36"/>
        <v>0</v>
      </c>
      <c r="AL35" s="76">
        <f t="shared" si="36"/>
        <v>0</v>
      </c>
      <c r="AM35" s="76">
        <f t="shared" si="36"/>
        <v>0</v>
      </c>
      <c r="AN35" s="76">
        <f t="shared" si="36"/>
        <v>0</v>
      </c>
      <c r="AO35" s="76">
        <f t="shared" si="36"/>
        <v>0</v>
      </c>
      <c r="AP35" s="76">
        <f t="shared" si="36"/>
        <v>0</v>
      </c>
      <c r="AQ35" s="76">
        <f t="shared" si="36"/>
        <v>0</v>
      </c>
      <c r="AR35" s="76">
        <f t="shared" si="36"/>
        <v>0</v>
      </c>
      <c r="AS35" s="76">
        <f t="shared" si="36"/>
        <v>0</v>
      </c>
      <c r="AT35" s="76">
        <f t="shared" si="36"/>
        <v>0</v>
      </c>
      <c r="AU35" s="76">
        <f t="shared" si="36"/>
        <v>0</v>
      </c>
      <c r="AV35" s="76">
        <f t="shared" si="36"/>
        <v>0</v>
      </c>
      <c r="AW35" s="76">
        <f t="shared" si="36"/>
        <v>0</v>
      </c>
      <c r="AX35" s="76">
        <f t="shared" si="36"/>
        <v>0</v>
      </c>
      <c r="AY35" s="76">
        <f t="shared" si="36"/>
        <v>0</v>
      </c>
      <c r="AZ35" s="76">
        <f t="shared" si="36"/>
        <v>0</v>
      </c>
      <c r="BA35" s="76">
        <f t="shared" si="36"/>
        <v>0</v>
      </c>
      <c r="BB35" s="76">
        <f t="shared" si="36"/>
        <v>0</v>
      </c>
      <c r="BC35" s="76">
        <f t="shared" si="36"/>
        <v>0</v>
      </c>
      <c r="BD35" s="61"/>
      <c r="BE35" s="76">
        <f t="shared" si="32"/>
        <v>0</v>
      </c>
      <c r="BF35" s="76">
        <f t="shared" si="33"/>
        <v>0</v>
      </c>
      <c r="BG35" s="76">
        <f t="shared" si="33"/>
        <v>0</v>
      </c>
      <c r="BH35" s="76">
        <f t="shared" si="33"/>
        <v>0</v>
      </c>
    </row>
    <row r="36" spans="2:60" ht="21" customHeight="1" x14ac:dyDescent="0.35">
      <c r="B36" s="60" t="str">
        <f>$B$13</f>
        <v>Extended hours</v>
      </c>
      <c r="C36" s="48">
        <f>'Extended Hours'!C11</f>
        <v>44013</v>
      </c>
      <c r="D36" s="48" t="str">
        <f t="shared" si="34"/>
        <v/>
      </c>
      <c r="E36" s="47">
        <f>'Extended Hours'!C12</f>
        <v>1</v>
      </c>
      <c r="F36" s="76">
        <f>(SUM('Extended Hours'!C6:F6)*'Extended Hours'!C10)+'Extended Hours'!C28</f>
        <v>21304.6875</v>
      </c>
      <c r="G36" s="76">
        <f>'Extended Hours'!C20</f>
        <v>0</v>
      </c>
      <c r="H36" s="76">
        <f t="shared" si="37"/>
        <v>0</v>
      </c>
      <c r="I36" s="76">
        <f t="shared" si="37"/>
        <v>0</v>
      </c>
      <c r="J36" s="76">
        <f t="shared" si="37"/>
        <v>0</v>
      </c>
      <c r="K36" s="76">
        <f t="shared" si="37"/>
        <v>0</v>
      </c>
      <c r="L36" s="76">
        <f t="shared" si="37"/>
        <v>0</v>
      </c>
      <c r="M36" s="76">
        <f t="shared" si="39"/>
        <v>0</v>
      </c>
      <c r="N36" s="76">
        <f t="shared" si="39"/>
        <v>0</v>
      </c>
      <c r="O36" s="76">
        <f t="shared" si="39"/>
        <v>0</v>
      </c>
      <c r="P36" s="76">
        <f t="shared" si="36"/>
        <v>0</v>
      </c>
      <c r="Q36" s="76">
        <f t="shared" si="36"/>
        <v>0</v>
      </c>
      <c r="R36" s="76">
        <f t="shared" si="36"/>
        <v>0</v>
      </c>
      <c r="S36" s="76">
        <f t="shared" si="36"/>
        <v>1775.390625</v>
      </c>
      <c r="T36" s="76">
        <f t="shared" si="36"/>
        <v>1775.390625</v>
      </c>
      <c r="U36" s="76">
        <f t="shared" si="36"/>
        <v>1775.390625</v>
      </c>
      <c r="V36" s="76">
        <f t="shared" si="36"/>
        <v>1775.390625</v>
      </c>
      <c r="W36" s="76">
        <f t="shared" si="36"/>
        <v>1775.390625</v>
      </c>
      <c r="X36" s="76">
        <f t="shared" si="36"/>
        <v>1775.390625</v>
      </c>
      <c r="Y36" s="76">
        <f t="shared" si="36"/>
        <v>1775.390625</v>
      </c>
      <c r="Z36" s="76">
        <f t="shared" si="36"/>
        <v>1775.390625</v>
      </c>
      <c r="AA36" s="76">
        <f t="shared" si="36"/>
        <v>1775.390625</v>
      </c>
      <c r="AB36" s="76">
        <f t="shared" si="36"/>
        <v>1775.390625</v>
      </c>
      <c r="AC36" s="76">
        <f t="shared" si="36"/>
        <v>1775.390625</v>
      </c>
      <c r="AD36" s="76">
        <f t="shared" si="36"/>
        <v>1775.390625</v>
      </c>
      <c r="AE36" s="76">
        <f t="shared" si="36"/>
        <v>1775.390625</v>
      </c>
      <c r="AF36" s="76">
        <f t="shared" si="36"/>
        <v>1775.390625</v>
      </c>
      <c r="AG36" s="76">
        <f t="shared" si="36"/>
        <v>1775.390625</v>
      </c>
      <c r="AH36" s="76">
        <f t="shared" si="36"/>
        <v>1775.390625</v>
      </c>
      <c r="AI36" s="76">
        <f t="shared" si="36"/>
        <v>1775.390625</v>
      </c>
      <c r="AJ36" s="76">
        <f t="shared" si="36"/>
        <v>1775.390625</v>
      </c>
      <c r="AK36" s="76">
        <f t="shared" si="36"/>
        <v>1775.390625</v>
      </c>
      <c r="AL36" s="76">
        <f t="shared" si="36"/>
        <v>1775.390625</v>
      </c>
      <c r="AM36" s="76">
        <f t="shared" si="36"/>
        <v>1775.390625</v>
      </c>
      <c r="AN36" s="76">
        <f t="shared" si="36"/>
        <v>1775.390625</v>
      </c>
      <c r="AO36" s="76">
        <f t="shared" si="36"/>
        <v>1775.390625</v>
      </c>
      <c r="AP36" s="76">
        <f t="shared" si="36"/>
        <v>1775.390625</v>
      </c>
      <c r="AQ36" s="76">
        <f t="shared" si="36"/>
        <v>1775.390625</v>
      </c>
      <c r="AR36" s="76">
        <f t="shared" si="36"/>
        <v>1775.390625</v>
      </c>
      <c r="AS36" s="76">
        <f t="shared" si="36"/>
        <v>1775.390625</v>
      </c>
      <c r="AT36" s="76">
        <f t="shared" si="36"/>
        <v>1775.390625</v>
      </c>
      <c r="AU36" s="76">
        <f t="shared" si="36"/>
        <v>1775.390625</v>
      </c>
      <c r="AV36" s="76">
        <f t="shared" si="36"/>
        <v>1775.390625</v>
      </c>
      <c r="AW36" s="76">
        <f t="shared" si="36"/>
        <v>1775.390625</v>
      </c>
      <c r="AX36" s="76">
        <f t="shared" si="36"/>
        <v>1775.390625</v>
      </c>
      <c r="AY36" s="76">
        <f t="shared" si="36"/>
        <v>1775.390625</v>
      </c>
      <c r="AZ36" s="76">
        <f t="shared" si="36"/>
        <v>1775.390625</v>
      </c>
      <c r="BA36" s="76">
        <f t="shared" si="36"/>
        <v>1775.390625</v>
      </c>
      <c r="BB36" s="76">
        <f t="shared" si="36"/>
        <v>1775.390625</v>
      </c>
      <c r="BC36" s="76">
        <f t="shared" si="36"/>
        <v>1775.390625</v>
      </c>
      <c r="BD36" s="61"/>
      <c r="BE36" s="76">
        <f t="shared" si="32"/>
        <v>1775.390625</v>
      </c>
      <c r="BF36" s="76">
        <f t="shared" si="33"/>
        <v>21304.6875</v>
      </c>
      <c r="BG36" s="76">
        <f t="shared" si="33"/>
        <v>21304.6875</v>
      </c>
      <c r="BH36" s="76">
        <f t="shared" si="33"/>
        <v>21304.6875</v>
      </c>
    </row>
    <row r="37" spans="2:60" ht="21" customHeight="1" x14ac:dyDescent="0.35">
      <c r="B37" s="60" t="str">
        <f>$B$14</f>
        <v>Patient Centered Appointments</v>
      </c>
      <c r="C37" s="48" t="str">
        <f>IF($C$14="","",$C$14)</f>
        <v/>
      </c>
      <c r="D37" s="48" t="str">
        <f t="shared" si="34"/>
        <v/>
      </c>
      <c r="E37" s="47" t="str">
        <f>IF(E$14="","",E$14)</f>
        <v/>
      </c>
      <c r="F37" s="76"/>
      <c r="G37" s="76"/>
      <c r="H37" s="76">
        <f t="shared" si="37"/>
        <v>0</v>
      </c>
      <c r="I37" s="76">
        <f t="shared" si="37"/>
        <v>0</v>
      </c>
      <c r="J37" s="76">
        <f t="shared" si="37"/>
        <v>0</v>
      </c>
      <c r="K37" s="76">
        <f t="shared" si="37"/>
        <v>0</v>
      </c>
      <c r="L37" s="76">
        <f t="shared" si="37"/>
        <v>0</v>
      </c>
      <c r="M37" s="76">
        <f t="shared" si="39"/>
        <v>0</v>
      </c>
      <c r="N37" s="76">
        <f t="shared" si="39"/>
        <v>0</v>
      </c>
      <c r="O37" s="76">
        <f t="shared" si="39"/>
        <v>0</v>
      </c>
      <c r="P37" s="76">
        <f t="shared" si="36"/>
        <v>0</v>
      </c>
      <c r="Q37" s="76">
        <f t="shared" si="36"/>
        <v>0</v>
      </c>
      <c r="R37" s="76">
        <f t="shared" si="36"/>
        <v>0</v>
      </c>
      <c r="S37" s="76">
        <f t="shared" si="36"/>
        <v>0</v>
      </c>
      <c r="T37" s="76">
        <f t="shared" si="36"/>
        <v>0</v>
      </c>
      <c r="U37" s="76">
        <f t="shared" si="36"/>
        <v>0</v>
      </c>
      <c r="V37" s="76">
        <f t="shared" si="36"/>
        <v>0</v>
      </c>
      <c r="W37" s="76">
        <f t="shared" si="36"/>
        <v>0</v>
      </c>
      <c r="X37" s="76">
        <f t="shared" si="36"/>
        <v>0</v>
      </c>
      <c r="Y37" s="76">
        <f t="shared" si="36"/>
        <v>0</v>
      </c>
      <c r="Z37" s="76">
        <f t="shared" si="36"/>
        <v>0</v>
      </c>
      <c r="AA37" s="76">
        <f t="shared" si="36"/>
        <v>0</v>
      </c>
      <c r="AB37" s="76">
        <f t="shared" si="36"/>
        <v>0</v>
      </c>
      <c r="AC37" s="76">
        <f t="shared" si="36"/>
        <v>0</v>
      </c>
      <c r="AD37" s="76">
        <f t="shared" si="36"/>
        <v>0</v>
      </c>
      <c r="AE37" s="76">
        <f t="shared" si="36"/>
        <v>0</v>
      </c>
      <c r="AF37" s="76">
        <f t="shared" si="36"/>
        <v>0</v>
      </c>
      <c r="AG37" s="76">
        <f t="shared" si="36"/>
        <v>0</v>
      </c>
      <c r="AH37" s="76">
        <f t="shared" si="36"/>
        <v>0</v>
      </c>
      <c r="AI37" s="76">
        <f t="shared" si="36"/>
        <v>0</v>
      </c>
      <c r="AJ37" s="76">
        <f t="shared" si="36"/>
        <v>0</v>
      </c>
      <c r="AK37" s="76">
        <f t="shared" si="36"/>
        <v>0</v>
      </c>
      <c r="AL37" s="76">
        <f t="shared" si="36"/>
        <v>0</v>
      </c>
      <c r="AM37" s="76">
        <f t="shared" si="36"/>
        <v>0</v>
      </c>
      <c r="AN37" s="76">
        <f t="shared" si="36"/>
        <v>0</v>
      </c>
      <c r="AO37" s="76">
        <f t="shared" si="36"/>
        <v>0</v>
      </c>
      <c r="AP37" s="76">
        <f t="shared" si="36"/>
        <v>0</v>
      </c>
      <c r="AQ37" s="76">
        <f t="shared" si="36"/>
        <v>0</v>
      </c>
      <c r="AR37" s="76">
        <f t="shared" si="36"/>
        <v>0</v>
      </c>
      <c r="AS37" s="76">
        <f t="shared" si="36"/>
        <v>0</v>
      </c>
      <c r="AT37" s="76">
        <f t="shared" si="36"/>
        <v>0</v>
      </c>
      <c r="AU37" s="76">
        <f t="shared" si="36"/>
        <v>0</v>
      </c>
      <c r="AV37" s="76">
        <f t="shared" si="36"/>
        <v>0</v>
      </c>
      <c r="AW37" s="76">
        <f t="shared" si="36"/>
        <v>0</v>
      </c>
      <c r="AX37" s="76">
        <f t="shared" si="36"/>
        <v>0</v>
      </c>
      <c r="AY37" s="76">
        <f t="shared" si="36"/>
        <v>0</v>
      </c>
      <c r="AZ37" s="76">
        <f t="shared" si="36"/>
        <v>0</v>
      </c>
      <c r="BA37" s="76">
        <f t="shared" si="36"/>
        <v>0</v>
      </c>
      <c r="BB37" s="76">
        <f t="shared" si="36"/>
        <v>0</v>
      </c>
      <c r="BC37" s="76">
        <f t="shared" si="36"/>
        <v>0</v>
      </c>
      <c r="BD37" s="61"/>
      <c r="BE37" s="76">
        <f t="shared" si="32"/>
        <v>0</v>
      </c>
      <c r="BF37" s="76">
        <f t="shared" si="33"/>
        <v>0</v>
      </c>
      <c r="BG37" s="76">
        <f t="shared" si="33"/>
        <v>0</v>
      </c>
      <c r="BH37" s="76">
        <f t="shared" si="33"/>
        <v>0</v>
      </c>
    </row>
    <row r="38" spans="2:60" ht="21" customHeight="1" x14ac:dyDescent="0.35">
      <c r="B38" s="60" t="str">
        <f>$B$15</f>
        <v>Clinical and administrative pre work</v>
      </c>
      <c r="C38" s="48" t="str">
        <f>IF($C$15="","",$C$15)</f>
        <v/>
      </c>
      <c r="D38" s="48" t="str">
        <f t="shared" si="34"/>
        <v/>
      </c>
      <c r="E38" s="47" t="str">
        <f>IF(E$15="","",E$15)</f>
        <v/>
      </c>
      <c r="F38" s="76"/>
      <c r="G38" s="76"/>
      <c r="H38" s="76">
        <f t="shared" si="37"/>
        <v>0</v>
      </c>
      <c r="I38" s="76">
        <f t="shared" si="37"/>
        <v>0</v>
      </c>
      <c r="J38" s="76">
        <f t="shared" si="37"/>
        <v>0</v>
      </c>
      <c r="K38" s="76">
        <f t="shared" si="37"/>
        <v>0</v>
      </c>
      <c r="L38" s="76">
        <f t="shared" si="37"/>
        <v>0</v>
      </c>
      <c r="M38" s="76">
        <f t="shared" si="39"/>
        <v>0</v>
      </c>
      <c r="N38" s="76">
        <f t="shared" si="39"/>
        <v>0</v>
      </c>
      <c r="O38" s="76">
        <f t="shared" si="39"/>
        <v>0</v>
      </c>
      <c r="P38" s="76">
        <f t="shared" si="36"/>
        <v>0</v>
      </c>
      <c r="Q38" s="76">
        <f t="shared" si="36"/>
        <v>0</v>
      </c>
      <c r="R38" s="76">
        <f t="shared" si="36"/>
        <v>0</v>
      </c>
      <c r="S38" s="76">
        <f t="shared" si="36"/>
        <v>0</v>
      </c>
      <c r="T38" s="76">
        <f t="shared" si="36"/>
        <v>0</v>
      </c>
      <c r="U38" s="76">
        <f t="shared" si="36"/>
        <v>0</v>
      </c>
      <c r="V38" s="76">
        <f t="shared" si="36"/>
        <v>0</v>
      </c>
      <c r="W38" s="76">
        <f t="shared" si="36"/>
        <v>0</v>
      </c>
      <c r="X38" s="76">
        <f t="shared" si="36"/>
        <v>0</v>
      </c>
      <c r="Y38" s="76">
        <f t="shared" si="36"/>
        <v>0</v>
      </c>
      <c r="Z38" s="76">
        <f t="shared" si="36"/>
        <v>0</v>
      </c>
      <c r="AA38" s="76">
        <f t="shared" si="36"/>
        <v>0</v>
      </c>
      <c r="AB38" s="76">
        <f t="shared" si="36"/>
        <v>0</v>
      </c>
      <c r="AC38" s="76">
        <f t="shared" si="36"/>
        <v>0</v>
      </c>
      <c r="AD38" s="76">
        <f t="shared" si="36"/>
        <v>0</v>
      </c>
      <c r="AE38" s="76">
        <f t="shared" si="36"/>
        <v>0</v>
      </c>
      <c r="AF38" s="76">
        <f t="shared" ref="P38:BC44" si="40">IF(AF$4&lt;$C38,0,IFERROR(MIN(1,MAX(0,(EOMONTH(AF$4,0)+1-$C38)/(EDATE($C38,$E38)-$C38)))*$F38/12+IF(AF$3=1,$G38/12,0),0))</f>
        <v>0</v>
      </c>
      <c r="AG38" s="76">
        <f t="shared" si="40"/>
        <v>0</v>
      </c>
      <c r="AH38" s="76">
        <f t="shared" si="40"/>
        <v>0</v>
      </c>
      <c r="AI38" s="76">
        <f t="shared" si="40"/>
        <v>0</v>
      </c>
      <c r="AJ38" s="76">
        <f t="shared" si="40"/>
        <v>0</v>
      </c>
      <c r="AK38" s="76">
        <f t="shared" si="40"/>
        <v>0</v>
      </c>
      <c r="AL38" s="76">
        <f t="shared" si="40"/>
        <v>0</v>
      </c>
      <c r="AM38" s="76">
        <f t="shared" si="40"/>
        <v>0</v>
      </c>
      <c r="AN38" s="76">
        <f t="shared" si="40"/>
        <v>0</v>
      </c>
      <c r="AO38" s="76">
        <f t="shared" si="40"/>
        <v>0</v>
      </c>
      <c r="AP38" s="76">
        <f t="shared" si="40"/>
        <v>0</v>
      </c>
      <c r="AQ38" s="76">
        <f t="shared" si="40"/>
        <v>0</v>
      </c>
      <c r="AR38" s="76">
        <f t="shared" si="40"/>
        <v>0</v>
      </c>
      <c r="AS38" s="76">
        <f t="shared" si="40"/>
        <v>0</v>
      </c>
      <c r="AT38" s="76">
        <f t="shared" si="40"/>
        <v>0</v>
      </c>
      <c r="AU38" s="76">
        <f t="shared" si="40"/>
        <v>0</v>
      </c>
      <c r="AV38" s="76">
        <f t="shared" si="40"/>
        <v>0</v>
      </c>
      <c r="AW38" s="76">
        <f t="shared" si="40"/>
        <v>0</v>
      </c>
      <c r="AX38" s="76">
        <f t="shared" si="40"/>
        <v>0</v>
      </c>
      <c r="AY38" s="76">
        <f t="shared" si="40"/>
        <v>0</v>
      </c>
      <c r="AZ38" s="76">
        <f t="shared" si="40"/>
        <v>0</v>
      </c>
      <c r="BA38" s="76">
        <f t="shared" si="40"/>
        <v>0</v>
      </c>
      <c r="BB38" s="76">
        <f t="shared" si="40"/>
        <v>0</v>
      </c>
      <c r="BC38" s="76">
        <f t="shared" si="40"/>
        <v>0</v>
      </c>
      <c r="BD38" s="61"/>
      <c r="BE38" s="76">
        <f t="shared" si="32"/>
        <v>0</v>
      </c>
      <c r="BF38" s="76">
        <f t="shared" si="33"/>
        <v>0</v>
      </c>
      <c r="BG38" s="76">
        <f t="shared" si="33"/>
        <v>0</v>
      </c>
      <c r="BH38" s="76">
        <f t="shared" si="33"/>
        <v>0</v>
      </c>
    </row>
    <row r="39" spans="2:60" ht="21" customHeight="1" x14ac:dyDescent="0.35">
      <c r="B39" s="60" t="str">
        <f>$B$16</f>
        <v>Multi-discliplinary Team Meetings</v>
      </c>
      <c r="C39" s="48">
        <f>IF($C$16="","",$C$16)</f>
        <v>43862</v>
      </c>
      <c r="D39" s="48" t="str">
        <f t="shared" si="34"/>
        <v/>
      </c>
      <c r="E39" s="47">
        <v>1</v>
      </c>
      <c r="F39" s="76">
        <f>MDT!F25</f>
        <v>1200</v>
      </c>
      <c r="G39" s="76">
        <f>MDT!C25</f>
        <v>0</v>
      </c>
      <c r="H39" s="76">
        <f>IFERROR(MIN(1,MAX(0,(EOMONTH(H$4,0)+1-$C39)/(EDATE($C39,$E39)-$C39)))*$F39/12+IF(H$3=1,$G39/12,0),0)</f>
        <v>0</v>
      </c>
      <c r="I39" s="76">
        <f>IFERROR(MIN(1,MAX(0,(EOMONTH(I$4,0)+1-$C39)/(EDATE($C39,$E39)-$C39)))*$F39/12+IF(I$3=1,$G39/12,0),0)</f>
        <v>0</v>
      </c>
      <c r="J39" s="76">
        <f t="shared" si="37"/>
        <v>0</v>
      </c>
      <c r="K39" s="76">
        <f t="shared" si="37"/>
        <v>0</v>
      </c>
      <c r="L39" s="76">
        <f t="shared" si="37"/>
        <v>0</v>
      </c>
      <c r="M39" s="76">
        <f t="shared" si="39"/>
        <v>0</v>
      </c>
      <c r="N39" s="76">
        <f t="shared" si="39"/>
        <v>100</v>
      </c>
      <c r="O39" s="76">
        <f t="shared" si="39"/>
        <v>100</v>
      </c>
      <c r="P39" s="76">
        <f t="shared" si="40"/>
        <v>100</v>
      </c>
      <c r="Q39" s="76">
        <f t="shared" si="40"/>
        <v>100</v>
      </c>
      <c r="R39" s="76">
        <f t="shared" si="40"/>
        <v>100</v>
      </c>
      <c r="S39" s="76">
        <f t="shared" si="40"/>
        <v>100</v>
      </c>
      <c r="T39" s="76">
        <f t="shared" si="40"/>
        <v>100</v>
      </c>
      <c r="U39" s="76">
        <f t="shared" si="40"/>
        <v>100</v>
      </c>
      <c r="V39" s="76">
        <f t="shared" si="40"/>
        <v>100</v>
      </c>
      <c r="W39" s="76">
        <f t="shared" si="40"/>
        <v>100</v>
      </c>
      <c r="X39" s="76">
        <f t="shared" si="40"/>
        <v>100</v>
      </c>
      <c r="Y39" s="76">
        <f t="shared" si="40"/>
        <v>100</v>
      </c>
      <c r="Z39" s="76">
        <f t="shared" si="40"/>
        <v>100</v>
      </c>
      <c r="AA39" s="76">
        <f t="shared" si="40"/>
        <v>100</v>
      </c>
      <c r="AB39" s="76">
        <f t="shared" si="40"/>
        <v>100</v>
      </c>
      <c r="AC39" s="76">
        <f t="shared" si="40"/>
        <v>100</v>
      </c>
      <c r="AD39" s="76">
        <f t="shared" si="40"/>
        <v>100</v>
      </c>
      <c r="AE39" s="76">
        <f t="shared" si="40"/>
        <v>100</v>
      </c>
      <c r="AF39" s="76">
        <f t="shared" si="40"/>
        <v>100</v>
      </c>
      <c r="AG39" s="76">
        <f t="shared" si="40"/>
        <v>100</v>
      </c>
      <c r="AH39" s="76">
        <f t="shared" si="40"/>
        <v>100</v>
      </c>
      <c r="AI39" s="76">
        <f t="shared" si="40"/>
        <v>100</v>
      </c>
      <c r="AJ39" s="76">
        <f t="shared" si="40"/>
        <v>100</v>
      </c>
      <c r="AK39" s="76">
        <f t="shared" si="40"/>
        <v>100</v>
      </c>
      <c r="AL39" s="76">
        <f t="shared" si="40"/>
        <v>100</v>
      </c>
      <c r="AM39" s="76">
        <f t="shared" si="40"/>
        <v>100</v>
      </c>
      <c r="AN39" s="76">
        <f t="shared" si="40"/>
        <v>100</v>
      </c>
      <c r="AO39" s="76">
        <f t="shared" si="40"/>
        <v>100</v>
      </c>
      <c r="AP39" s="76">
        <f t="shared" si="40"/>
        <v>100</v>
      </c>
      <c r="AQ39" s="76">
        <f t="shared" si="40"/>
        <v>100</v>
      </c>
      <c r="AR39" s="76">
        <f t="shared" si="40"/>
        <v>100</v>
      </c>
      <c r="AS39" s="76">
        <f t="shared" si="40"/>
        <v>100</v>
      </c>
      <c r="AT39" s="76">
        <f t="shared" si="40"/>
        <v>100</v>
      </c>
      <c r="AU39" s="76">
        <f t="shared" si="40"/>
        <v>100</v>
      </c>
      <c r="AV39" s="76">
        <f t="shared" si="40"/>
        <v>100</v>
      </c>
      <c r="AW39" s="76">
        <f t="shared" si="40"/>
        <v>100</v>
      </c>
      <c r="AX39" s="76">
        <f t="shared" si="40"/>
        <v>100</v>
      </c>
      <c r="AY39" s="76">
        <f t="shared" si="40"/>
        <v>100</v>
      </c>
      <c r="AZ39" s="76">
        <f t="shared" si="40"/>
        <v>100</v>
      </c>
      <c r="BA39" s="76">
        <f t="shared" si="40"/>
        <v>100</v>
      </c>
      <c r="BB39" s="76">
        <f t="shared" si="40"/>
        <v>100</v>
      </c>
      <c r="BC39" s="76">
        <f t="shared" si="40"/>
        <v>100</v>
      </c>
      <c r="BD39" s="61"/>
      <c r="BE39" s="76">
        <f t="shared" si="32"/>
        <v>600</v>
      </c>
      <c r="BF39" s="76">
        <f t="shared" si="33"/>
        <v>1200</v>
      </c>
      <c r="BG39" s="76">
        <f t="shared" si="33"/>
        <v>1200</v>
      </c>
      <c r="BH39" s="76">
        <f t="shared" si="33"/>
        <v>1200</v>
      </c>
    </row>
    <row r="40" spans="2:60" ht="21" customHeight="1" x14ac:dyDescent="0.35">
      <c r="B40" s="60" t="str">
        <f>$B$17</f>
        <v>Huddles</v>
      </c>
      <c r="C40" s="48">
        <f>IF($C$17="","",$C$17)</f>
        <v>43678</v>
      </c>
      <c r="D40" s="48" t="str">
        <f t="shared" si="34"/>
        <v/>
      </c>
      <c r="E40" s="47">
        <f>IF(E$17="","",E$17)</f>
        <v>1</v>
      </c>
      <c r="F40" s="76">
        <f>Huddles!K18</f>
        <v>50</v>
      </c>
      <c r="G40" s="76">
        <f>Huddles!K10</f>
        <v>1000</v>
      </c>
      <c r="H40" s="76">
        <f t="shared" si="37"/>
        <v>87.5</v>
      </c>
      <c r="I40" s="76">
        <f t="shared" si="37"/>
        <v>87.5</v>
      </c>
      <c r="J40" s="76">
        <f t="shared" si="37"/>
        <v>87.5</v>
      </c>
      <c r="K40" s="76">
        <f t="shared" si="37"/>
        <v>87.5</v>
      </c>
      <c r="L40" s="76">
        <f t="shared" si="37"/>
        <v>87.5</v>
      </c>
      <c r="M40" s="76">
        <f t="shared" si="39"/>
        <v>87.5</v>
      </c>
      <c r="N40" s="76">
        <f t="shared" si="39"/>
        <v>87.5</v>
      </c>
      <c r="O40" s="76">
        <f t="shared" si="39"/>
        <v>87.5</v>
      </c>
      <c r="P40" s="76">
        <f t="shared" si="40"/>
        <v>87.5</v>
      </c>
      <c r="Q40" s="76">
        <f t="shared" si="40"/>
        <v>87.5</v>
      </c>
      <c r="R40" s="76">
        <f t="shared" si="40"/>
        <v>87.5</v>
      </c>
      <c r="S40" s="76">
        <f t="shared" si="40"/>
        <v>87.5</v>
      </c>
      <c r="T40" s="76">
        <f t="shared" si="40"/>
        <v>4.166666666666667</v>
      </c>
      <c r="U40" s="76">
        <f t="shared" si="40"/>
        <v>4.166666666666667</v>
      </c>
      <c r="V40" s="76">
        <f t="shared" si="40"/>
        <v>4.166666666666667</v>
      </c>
      <c r="W40" s="76">
        <f t="shared" si="40"/>
        <v>4.166666666666667</v>
      </c>
      <c r="X40" s="76">
        <f t="shared" si="40"/>
        <v>4.166666666666667</v>
      </c>
      <c r="Y40" s="76">
        <f t="shared" si="40"/>
        <v>4.166666666666667</v>
      </c>
      <c r="Z40" s="76">
        <f t="shared" si="40"/>
        <v>4.166666666666667</v>
      </c>
      <c r="AA40" s="76">
        <f t="shared" si="40"/>
        <v>4.166666666666667</v>
      </c>
      <c r="AB40" s="76">
        <f t="shared" si="40"/>
        <v>4.166666666666667</v>
      </c>
      <c r="AC40" s="76">
        <f t="shared" si="40"/>
        <v>4.166666666666667</v>
      </c>
      <c r="AD40" s="76">
        <f t="shared" si="40"/>
        <v>4.166666666666667</v>
      </c>
      <c r="AE40" s="76">
        <f t="shared" si="40"/>
        <v>4.166666666666667</v>
      </c>
      <c r="AF40" s="76">
        <f t="shared" si="40"/>
        <v>4.166666666666667</v>
      </c>
      <c r="AG40" s="76">
        <f t="shared" si="40"/>
        <v>4.166666666666667</v>
      </c>
      <c r="AH40" s="76">
        <f t="shared" si="40"/>
        <v>4.166666666666667</v>
      </c>
      <c r="AI40" s="76">
        <f t="shared" si="40"/>
        <v>4.166666666666667</v>
      </c>
      <c r="AJ40" s="76">
        <f t="shared" si="40"/>
        <v>4.166666666666667</v>
      </c>
      <c r="AK40" s="76">
        <f t="shared" si="40"/>
        <v>4.166666666666667</v>
      </c>
      <c r="AL40" s="76">
        <f t="shared" si="40"/>
        <v>4.166666666666667</v>
      </c>
      <c r="AM40" s="76">
        <f t="shared" si="40"/>
        <v>4.166666666666667</v>
      </c>
      <c r="AN40" s="76">
        <f t="shared" si="40"/>
        <v>4.166666666666667</v>
      </c>
      <c r="AO40" s="76">
        <f t="shared" si="40"/>
        <v>4.166666666666667</v>
      </c>
      <c r="AP40" s="76">
        <f t="shared" si="40"/>
        <v>4.166666666666667</v>
      </c>
      <c r="AQ40" s="76">
        <f t="shared" si="40"/>
        <v>4.166666666666667</v>
      </c>
      <c r="AR40" s="76">
        <f t="shared" si="40"/>
        <v>4.166666666666667</v>
      </c>
      <c r="AS40" s="76">
        <f t="shared" si="40"/>
        <v>4.166666666666667</v>
      </c>
      <c r="AT40" s="76">
        <f t="shared" si="40"/>
        <v>4.166666666666667</v>
      </c>
      <c r="AU40" s="76">
        <f t="shared" si="40"/>
        <v>4.166666666666667</v>
      </c>
      <c r="AV40" s="76">
        <f t="shared" si="40"/>
        <v>4.166666666666667</v>
      </c>
      <c r="AW40" s="76">
        <f t="shared" si="40"/>
        <v>4.166666666666667</v>
      </c>
      <c r="AX40" s="76">
        <f t="shared" si="40"/>
        <v>4.166666666666667</v>
      </c>
      <c r="AY40" s="76">
        <f t="shared" si="40"/>
        <v>4.166666666666667</v>
      </c>
      <c r="AZ40" s="76">
        <f t="shared" si="40"/>
        <v>4.166666666666667</v>
      </c>
      <c r="BA40" s="76">
        <f t="shared" si="40"/>
        <v>4.166666666666667</v>
      </c>
      <c r="BB40" s="76">
        <f t="shared" si="40"/>
        <v>4.166666666666667</v>
      </c>
      <c r="BC40" s="76">
        <f t="shared" si="40"/>
        <v>4.166666666666667</v>
      </c>
      <c r="BD40" s="61"/>
      <c r="BE40" s="76">
        <f t="shared" si="32"/>
        <v>1050</v>
      </c>
      <c r="BF40" s="76">
        <f t="shared" si="33"/>
        <v>49.999999999999993</v>
      </c>
      <c r="BG40" s="76">
        <f t="shared" si="33"/>
        <v>49.999999999999993</v>
      </c>
      <c r="BH40" s="76">
        <f t="shared" si="33"/>
        <v>49.999999999999993</v>
      </c>
    </row>
    <row r="41" spans="2:60" ht="21" customHeight="1" x14ac:dyDescent="0.35">
      <c r="B41" s="60" t="str">
        <f>$B$18</f>
        <v>Health Care Assistants</v>
      </c>
      <c r="C41" s="48">
        <f>IF($C$18="","",$C$18)</f>
        <v>43739</v>
      </c>
      <c r="D41" s="48" t="str">
        <f t="shared" si="34"/>
        <v/>
      </c>
      <c r="E41" s="47">
        <f>IF(E$18="","",E$18)</f>
        <v>6</v>
      </c>
      <c r="F41" s="76">
        <f>HCA!C9</f>
        <v>45760</v>
      </c>
      <c r="G41" s="76"/>
      <c r="H41" s="76">
        <f t="shared" si="37"/>
        <v>0</v>
      </c>
      <c r="I41" s="76">
        <f t="shared" si="37"/>
        <v>0</v>
      </c>
      <c r="J41" s="76">
        <f t="shared" si="37"/>
        <v>645.97449908925319</v>
      </c>
      <c r="K41" s="76">
        <f t="shared" si="37"/>
        <v>1271.1111111111111</v>
      </c>
      <c r="L41" s="76">
        <f t="shared" si="37"/>
        <v>1917.0856102003643</v>
      </c>
      <c r="M41" s="76">
        <f t="shared" si="39"/>
        <v>2563.0601092896172</v>
      </c>
      <c r="N41" s="76">
        <f t="shared" si="39"/>
        <v>3167.3588342440803</v>
      </c>
      <c r="O41" s="76">
        <f t="shared" si="39"/>
        <v>3813.3333333333335</v>
      </c>
      <c r="P41" s="76">
        <f t="shared" si="40"/>
        <v>3813.3333333333335</v>
      </c>
      <c r="Q41" s="76">
        <f t="shared" si="40"/>
        <v>3813.3333333333335</v>
      </c>
      <c r="R41" s="76">
        <f t="shared" si="40"/>
        <v>3813.3333333333335</v>
      </c>
      <c r="S41" s="76">
        <f t="shared" si="40"/>
        <v>3813.3333333333335</v>
      </c>
      <c r="T41" s="76">
        <f t="shared" si="40"/>
        <v>3813.3333333333335</v>
      </c>
      <c r="U41" s="76">
        <f t="shared" si="40"/>
        <v>3813.3333333333335</v>
      </c>
      <c r="V41" s="76">
        <f t="shared" si="40"/>
        <v>3813.3333333333335</v>
      </c>
      <c r="W41" s="76">
        <f t="shared" si="40"/>
        <v>3813.3333333333335</v>
      </c>
      <c r="X41" s="76">
        <f t="shared" si="40"/>
        <v>3813.3333333333335</v>
      </c>
      <c r="Y41" s="76">
        <f t="shared" si="40"/>
        <v>3813.3333333333335</v>
      </c>
      <c r="Z41" s="76">
        <f t="shared" si="40"/>
        <v>3813.3333333333335</v>
      </c>
      <c r="AA41" s="76">
        <f t="shared" si="40"/>
        <v>3813.3333333333335</v>
      </c>
      <c r="AB41" s="76">
        <f t="shared" si="40"/>
        <v>3813.3333333333335</v>
      </c>
      <c r="AC41" s="76">
        <f t="shared" si="40"/>
        <v>3813.3333333333335</v>
      </c>
      <c r="AD41" s="76">
        <f t="shared" si="40"/>
        <v>3813.3333333333335</v>
      </c>
      <c r="AE41" s="76">
        <f t="shared" si="40"/>
        <v>3813.3333333333335</v>
      </c>
      <c r="AF41" s="76">
        <f t="shared" si="40"/>
        <v>3813.3333333333335</v>
      </c>
      <c r="AG41" s="76">
        <f t="shared" si="40"/>
        <v>3813.3333333333335</v>
      </c>
      <c r="AH41" s="76">
        <f t="shared" si="40"/>
        <v>3813.3333333333335</v>
      </c>
      <c r="AI41" s="76">
        <f t="shared" si="40"/>
        <v>3813.3333333333335</v>
      </c>
      <c r="AJ41" s="76">
        <f t="shared" si="40"/>
        <v>3813.3333333333335</v>
      </c>
      <c r="AK41" s="76">
        <f t="shared" si="40"/>
        <v>3813.3333333333335</v>
      </c>
      <c r="AL41" s="76">
        <f t="shared" si="40"/>
        <v>3813.3333333333335</v>
      </c>
      <c r="AM41" s="76">
        <f t="shared" si="40"/>
        <v>3813.3333333333335</v>
      </c>
      <c r="AN41" s="76">
        <f t="shared" si="40"/>
        <v>3813.3333333333335</v>
      </c>
      <c r="AO41" s="76">
        <f t="shared" si="40"/>
        <v>3813.3333333333335</v>
      </c>
      <c r="AP41" s="76">
        <f t="shared" si="40"/>
        <v>3813.3333333333335</v>
      </c>
      <c r="AQ41" s="76">
        <f t="shared" si="40"/>
        <v>3813.3333333333335</v>
      </c>
      <c r="AR41" s="76">
        <f t="shared" si="40"/>
        <v>3813.3333333333335</v>
      </c>
      <c r="AS41" s="76">
        <f t="shared" si="40"/>
        <v>3813.3333333333335</v>
      </c>
      <c r="AT41" s="76">
        <f t="shared" si="40"/>
        <v>3813.3333333333335</v>
      </c>
      <c r="AU41" s="76">
        <f t="shared" si="40"/>
        <v>3813.3333333333335</v>
      </c>
      <c r="AV41" s="76">
        <f t="shared" si="40"/>
        <v>3813.3333333333335</v>
      </c>
      <c r="AW41" s="76">
        <f t="shared" si="40"/>
        <v>3813.3333333333335</v>
      </c>
      <c r="AX41" s="76">
        <f t="shared" si="40"/>
        <v>3813.3333333333335</v>
      </c>
      <c r="AY41" s="76">
        <f t="shared" si="40"/>
        <v>3813.3333333333335</v>
      </c>
      <c r="AZ41" s="76">
        <f t="shared" si="40"/>
        <v>3813.3333333333335</v>
      </c>
      <c r="BA41" s="76">
        <f t="shared" si="40"/>
        <v>3813.3333333333335</v>
      </c>
      <c r="BB41" s="76">
        <f t="shared" si="40"/>
        <v>3813.3333333333335</v>
      </c>
      <c r="BC41" s="76">
        <f t="shared" si="40"/>
        <v>3813.3333333333335</v>
      </c>
      <c r="BD41" s="61"/>
      <c r="BE41" s="76">
        <f t="shared" si="32"/>
        <v>28631.256830601091</v>
      </c>
      <c r="BF41" s="76">
        <f t="shared" si="33"/>
        <v>45760.000000000007</v>
      </c>
      <c r="BG41" s="76">
        <f t="shared" si="33"/>
        <v>45760.000000000007</v>
      </c>
      <c r="BH41" s="76">
        <f t="shared" si="33"/>
        <v>45760.000000000007</v>
      </c>
    </row>
    <row r="42" spans="2:60" ht="21" customHeight="1" x14ac:dyDescent="0.35">
      <c r="B42" s="60" t="str">
        <f>$B$19</f>
        <v>Patient portals</v>
      </c>
      <c r="C42" s="48">
        <f>IF($C$19="","",$C$19)</f>
        <v>43678</v>
      </c>
      <c r="D42" s="48" t="str">
        <f t="shared" si="34"/>
        <v/>
      </c>
      <c r="E42" s="47">
        <f>IF(E$19="","",E$19)</f>
        <v>36</v>
      </c>
      <c r="F42" s="76">
        <f>'Patient Portal'!C32</f>
        <v>0</v>
      </c>
      <c r="G42" s="76">
        <f>'Patient Portal'!C24</f>
        <v>0</v>
      </c>
      <c r="H42" s="76">
        <f t="shared" si="37"/>
        <v>0</v>
      </c>
      <c r="I42" s="76">
        <f t="shared" si="37"/>
        <v>0</v>
      </c>
      <c r="J42" s="76">
        <f t="shared" si="37"/>
        <v>0</v>
      </c>
      <c r="K42" s="76">
        <f t="shared" si="37"/>
        <v>0</v>
      </c>
      <c r="L42" s="76">
        <f t="shared" si="37"/>
        <v>0</v>
      </c>
      <c r="M42" s="76">
        <f t="shared" si="39"/>
        <v>0</v>
      </c>
      <c r="N42" s="76">
        <f t="shared" si="39"/>
        <v>0</v>
      </c>
      <c r="O42" s="76">
        <f t="shared" si="39"/>
        <v>0</v>
      </c>
      <c r="P42" s="76">
        <f t="shared" si="40"/>
        <v>0</v>
      </c>
      <c r="Q42" s="76">
        <f t="shared" si="40"/>
        <v>0</v>
      </c>
      <c r="R42" s="76">
        <f t="shared" si="40"/>
        <v>0</v>
      </c>
      <c r="S42" s="76">
        <f t="shared" si="40"/>
        <v>0</v>
      </c>
      <c r="T42" s="76">
        <f t="shared" si="40"/>
        <v>0</v>
      </c>
      <c r="U42" s="76">
        <f t="shared" si="40"/>
        <v>0</v>
      </c>
      <c r="V42" s="76">
        <f t="shared" si="40"/>
        <v>0</v>
      </c>
      <c r="W42" s="76">
        <f t="shared" si="40"/>
        <v>0</v>
      </c>
      <c r="X42" s="76">
        <f t="shared" si="40"/>
        <v>0</v>
      </c>
      <c r="Y42" s="76">
        <f t="shared" si="40"/>
        <v>0</v>
      </c>
      <c r="Z42" s="76">
        <f t="shared" si="40"/>
        <v>0</v>
      </c>
      <c r="AA42" s="76">
        <f t="shared" si="40"/>
        <v>0</v>
      </c>
      <c r="AB42" s="76">
        <f t="shared" si="40"/>
        <v>0</v>
      </c>
      <c r="AC42" s="76">
        <f t="shared" si="40"/>
        <v>0</v>
      </c>
      <c r="AD42" s="76">
        <f t="shared" si="40"/>
        <v>0</v>
      </c>
      <c r="AE42" s="76">
        <f t="shared" si="40"/>
        <v>0</v>
      </c>
      <c r="AF42" s="76">
        <f t="shared" si="40"/>
        <v>0</v>
      </c>
      <c r="AG42" s="76">
        <f t="shared" si="40"/>
        <v>0</v>
      </c>
      <c r="AH42" s="76">
        <f t="shared" si="40"/>
        <v>0</v>
      </c>
      <c r="AI42" s="76">
        <f t="shared" si="40"/>
        <v>0</v>
      </c>
      <c r="AJ42" s="76">
        <f t="shared" si="40"/>
        <v>0</v>
      </c>
      <c r="AK42" s="76">
        <f t="shared" si="40"/>
        <v>0</v>
      </c>
      <c r="AL42" s="76">
        <f t="shared" si="40"/>
        <v>0</v>
      </c>
      <c r="AM42" s="76">
        <f t="shared" si="40"/>
        <v>0</v>
      </c>
      <c r="AN42" s="76">
        <f t="shared" si="40"/>
        <v>0</v>
      </c>
      <c r="AO42" s="76">
        <f t="shared" si="40"/>
        <v>0</v>
      </c>
      <c r="AP42" s="76">
        <f t="shared" si="40"/>
        <v>0</v>
      </c>
      <c r="AQ42" s="76">
        <f t="shared" si="40"/>
        <v>0</v>
      </c>
      <c r="AR42" s="76">
        <f t="shared" si="40"/>
        <v>0</v>
      </c>
      <c r="AS42" s="76">
        <f t="shared" si="40"/>
        <v>0</v>
      </c>
      <c r="AT42" s="76">
        <f t="shared" si="40"/>
        <v>0</v>
      </c>
      <c r="AU42" s="76">
        <f t="shared" si="40"/>
        <v>0</v>
      </c>
      <c r="AV42" s="76">
        <f t="shared" si="40"/>
        <v>0</v>
      </c>
      <c r="AW42" s="76">
        <f t="shared" si="40"/>
        <v>0</v>
      </c>
      <c r="AX42" s="76">
        <f t="shared" si="40"/>
        <v>0</v>
      </c>
      <c r="AY42" s="76">
        <f t="shared" si="40"/>
        <v>0</v>
      </c>
      <c r="AZ42" s="76">
        <f t="shared" si="40"/>
        <v>0</v>
      </c>
      <c r="BA42" s="76">
        <f t="shared" si="40"/>
        <v>0</v>
      </c>
      <c r="BB42" s="76">
        <f t="shared" si="40"/>
        <v>0</v>
      </c>
      <c r="BC42" s="76">
        <f t="shared" si="40"/>
        <v>0</v>
      </c>
      <c r="BD42" s="61"/>
      <c r="BE42" s="76">
        <f t="shared" si="32"/>
        <v>0</v>
      </c>
      <c r="BF42" s="76">
        <f t="shared" si="33"/>
        <v>0</v>
      </c>
      <c r="BG42" s="76">
        <f t="shared" si="33"/>
        <v>0</v>
      </c>
      <c r="BH42" s="76">
        <f t="shared" si="33"/>
        <v>0</v>
      </c>
    </row>
    <row r="43" spans="2:60" ht="21" customHeight="1" x14ac:dyDescent="0.35">
      <c r="B43" s="60" t="str">
        <f>$B$20</f>
        <v>Community Engagement</v>
      </c>
      <c r="C43" s="48" t="str">
        <f>IF($C$20="","",$C$20)</f>
        <v/>
      </c>
      <c r="D43" s="48" t="str">
        <f t="shared" si="34"/>
        <v/>
      </c>
      <c r="E43" s="47" t="str">
        <f>IF(E$20="","",E$20)</f>
        <v/>
      </c>
      <c r="F43" s="76"/>
      <c r="G43" s="76"/>
      <c r="H43" s="76">
        <f t="shared" si="37"/>
        <v>0</v>
      </c>
      <c r="I43" s="76">
        <f t="shared" si="37"/>
        <v>0</v>
      </c>
      <c r="J43" s="76">
        <f t="shared" si="37"/>
        <v>0</v>
      </c>
      <c r="K43" s="76">
        <f t="shared" si="37"/>
        <v>0</v>
      </c>
      <c r="L43" s="76">
        <f t="shared" si="37"/>
        <v>0</v>
      </c>
      <c r="M43" s="76">
        <f t="shared" si="39"/>
        <v>0</v>
      </c>
      <c r="N43" s="76">
        <f t="shared" si="39"/>
        <v>0</v>
      </c>
      <c r="O43" s="76">
        <f t="shared" si="39"/>
        <v>0</v>
      </c>
      <c r="P43" s="76">
        <f t="shared" si="40"/>
        <v>0</v>
      </c>
      <c r="Q43" s="76">
        <f t="shared" si="40"/>
        <v>0</v>
      </c>
      <c r="R43" s="76">
        <f t="shared" si="40"/>
        <v>0</v>
      </c>
      <c r="S43" s="76">
        <f t="shared" si="40"/>
        <v>0</v>
      </c>
      <c r="T43" s="76">
        <f t="shared" si="40"/>
        <v>0</v>
      </c>
      <c r="U43" s="76">
        <f t="shared" si="40"/>
        <v>0</v>
      </c>
      <c r="V43" s="76">
        <f t="shared" si="40"/>
        <v>0</v>
      </c>
      <c r="W43" s="76">
        <f t="shared" si="40"/>
        <v>0</v>
      </c>
      <c r="X43" s="76">
        <f t="shared" si="40"/>
        <v>0</v>
      </c>
      <c r="Y43" s="76">
        <f t="shared" si="40"/>
        <v>0</v>
      </c>
      <c r="Z43" s="76">
        <f t="shared" si="40"/>
        <v>0</v>
      </c>
      <c r="AA43" s="76">
        <f t="shared" si="40"/>
        <v>0</v>
      </c>
      <c r="AB43" s="76">
        <f t="shared" si="40"/>
        <v>0</v>
      </c>
      <c r="AC43" s="76">
        <f t="shared" si="40"/>
        <v>0</v>
      </c>
      <c r="AD43" s="76">
        <f t="shared" si="40"/>
        <v>0</v>
      </c>
      <c r="AE43" s="76">
        <f t="shared" si="40"/>
        <v>0</v>
      </c>
      <c r="AF43" s="76">
        <f t="shared" si="40"/>
        <v>0</v>
      </c>
      <c r="AG43" s="76">
        <f t="shared" si="40"/>
        <v>0</v>
      </c>
      <c r="AH43" s="76">
        <f t="shared" si="40"/>
        <v>0</v>
      </c>
      <c r="AI43" s="76">
        <f t="shared" si="40"/>
        <v>0</v>
      </c>
      <c r="AJ43" s="76">
        <f t="shared" si="40"/>
        <v>0</v>
      </c>
      <c r="AK43" s="76">
        <f t="shared" si="40"/>
        <v>0</v>
      </c>
      <c r="AL43" s="76">
        <f t="shared" si="40"/>
        <v>0</v>
      </c>
      <c r="AM43" s="76">
        <f t="shared" si="40"/>
        <v>0</v>
      </c>
      <c r="AN43" s="76">
        <f t="shared" si="40"/>
        <v>0</v>
      </c>
      <c r="AO43" s="76">
        <f t="shared" si="40"/>
        <v>0</v>
      </c>
      <c r="AP43" s="76">
        <f t="shared" si="40"/>
        <v>0</v>
      </c>
      <c r="AQ43" s="76">
        <f t="shared" si="40"/>
        <v>0</v>
      </c>
      <c r="AR43" s="76">
        <f t="shared" si="40"/>
        <v>0</v>
      </c>
      <c r="AS43" s="76">
        <f t="shared" si="40"/>
        <v>0</v>
      </c>
      <c r="AT43" s="76">
        <f t="shared" si="40"/>
        <v>0</v>
      </c>
      <c r="AU43" s="76">
        <f t="shared" si="40"/>
        <v>0</v>
      </c>
      <c r="AV43" s="76">
        <f t="shared" si="40"/>
        <v>0</v>
      </c>
      <c r="AW43" s="76">
        <f t="shared" si="40"/>
        <v>0</v>
      </c>
      <c r="AX43" s="76">
        <f t="shared" si="40"/>
        <v>0</v>
      </c>
      <c r="AY43" s="76">
        <f t="shared" si="40"/>
        <v>0</v>
      </c>
      <c r="AZ43" s="76">
        <f t="shared" si="40"/>
        <v>0</v>
      </c>
      <c r="BA43" s="76">
        <f t="shared" si="40"/>
        <v>0</v>
      </c>
      <c r="BB43" s="76">
        <f t="shared" si="40"/>
        <v>0</v>
      </c>
      <c r="BC43" s="76">
        <f t="shared" si="40"/>
        <v>0</v>
      </c>
      <c r="BD43" s="61"/>
      <c r="BE43" s="76">
        <f t="shared" si="32"/>
        <v>0</v>
      </c>
      <c r="BF43" s="76">
        <f t="shared" si="33"/>
        <v>0</v>
      </c>
      <c r="BG43" s="76">
        <f t="shared" si="33"/>
        <v>0</v>
      </c>
      <c r="BH43" s="76">
        <f t="shared" si="33"/>
        <v>0</v>
      </c>
    </row>
    <row r="44" spans="2:60" ht="21" customHeight="1" x14ac:dyDescent="0.35">
      <c r="B44" s="60" t="str">
        <f>$B$21</f>
        <v>Integration</v>
      </c>
      <c r="C44" s="48" t="str">
        <f>IF($C$21="","",$C$21)</f>
        <v/>
      </c>
      <c r="D44" s="48" t="str">
        <f t="shared" si="34"/>
        <v/>
      </c>
      <c r="E44" s="47" t="str">
        <f>IF(E$21="","",E$21)</f>
        <v/>
      </c>
      <c r="F44" s="76"/>
      <c r="G44" s="76"/>
      <c r="H44" s="76">
        <f t="shared" si="37"/>
        <v>0</v>
      </c>
      <c r="I44" s="76">
        <f t="shared" si="37"/>
        <v>0</v>
      </c>
      <c r="J44" s="76">
        <f t="shared" si="37"/>
        <v>0</v>
      </c>
      <c r="K44" s="76">
        <f t="shared" si="37"/>
        <v>0</v>
      </c>
      <c r="L44" s="76">
        <f t="shared" si="37"/>
        <v>0</v>
      </c>
      <c r="M44" s="76">
        <f t="shared" si="39"/>
        <v>0</v>
      </c>
      <c r="N44" s="76">
        <f t="shared" si="39"/>
        <v>0</v>
      </c>
      <c r="O44" s="76">
        <f t="shared" si="39"/>
        <v>0</v>
      </c>
      <c r="P44" s="76">
        <f t="shared" si="40"/>
        <v>0</v>
      </c>
      <c r="Q44" s="76">
        <f t="shared" si="40"/>
        <v>0</v>
      </c>
      <c r="R44" s="76">
        <f t="shared" si="40"/>
        <v>0</v>
      </c>
      <c r="S44" s="76">
        <f t="shared" si="40"/>
        <v>0</v>
      </c>
      <c r="T44" s="76">
        <f t="shared" si="40"/>
        <v>0</v>
      </c>
      <c r="U44" s="76">
        <f t="shared" si="40"/>
        <v>0</v>
      </c>
      <c r="V44" s="76">
        <f t="shared" si="40"/>
        <v>0</v>
      </c>
      <c r="W44" s="76">
        <f t="shared" si="40"/>
        <v>0</v>
      </c>
      <c r="X44" s="76">
        <f t="shared" si="40"/>
        <v>0</v>
      </c>
      <c r="Y44" s="76">
        <f t="shared" si="40"/>
        <v>0</v>
      </c>
      <c r="Z44" s="76">
        <f t="shared" si="40"/>
        <v>0</v>
      </c>
      <c r="AA44" s="76">
        <f t="shared" si="40"/>
        <v>0</v>
      </c>
      <c r="AB44" s="76">
        <f t="shared" si="40"/>
        <v>0</v>
      </c>
      <c r="AC44" s="76">
        <f t="shared" si="40"/>
        <v>0</v>
      </c>
      <c r="AD44" s="76">
        <f t="shared" si="40"/>
        <v>0</v>
      </c>
      <c r="AE44" s="76">
        <f t="shared" si="40"/>
        <v>0</v>
      </c>
      <c r="AF44" s="76">
        <f t="shared" si="40"/>
        <v>0</v>
      </c>
      <c r="AG44" s="76">
        <f t="shared" si="40"/>
        <v>0</v>
      </c>
      <c r="AH44" s="76">
        <f t="shared" si="40"/>
        <v>0</v>
      </c>
      <c r="AI44" s="76">
        <f t="shared" si="40"/>
        <v>0</v>
      </c>
      <c r="AJ44" s="76">
        <f t="shared" si="40"/>
        <v>0</v>
      </c>
      <c r="AK44" s="76">
        <f t="shared" si="40"/>
        <v>0</v>
      </c>
      <c r="AL44" s="76">
        <f t="shared" si="40"/>
        <v>0</v>
      </c>
      <c r="AM44" s="76">
        <f t="shared" si="40"/>
        <v>0</v>
      </c>
      <c r="AN44" s="76">
        <f t="shared" si="40"/>
        <v>0</v>
      </c>
      <c r="AO44" s="76">
        <f t="shared" si="40"/>
        <v>0</v>
      </c>
      <c r="AP44" s="76">
        <f t="shared" si="40"/>
        <v>0</v>
      </c>
      <c r="AQ44" s="76">
        <f t="shared" si="40"/>
        <v>0</v>
      </c>
      <c r="AR44" s="76">
        <f t="shared" si="40"/>
        <v>0</v>
      </c>
      <c r="AS44" s="76">
        <f t="shared" si="40"/>
        <v>0</v>
      </c>
      <c r="AT44" s="76">
        <f t="shared" si="40"/>
        <v>0</v>
      </c>
      <c r="AU44" s="76">
        <f t="shared" ref="P44:BC46" si="41">IF(AU$4&lt;$C44,0,IFERROR(MIN(1,MAX(0,(EOMONTH(AU$4,0)+1-$C44)/(EDATE($C44,$E44)-$C44)))*$F44/12+IF(AU$3=1,$G44/12,0),0))</f>
        <v>0</v>
      </c>
      <c r="AV44" s="76">
        <f t="shared" si="41"/>
        <v>0</v>
      </c>
      <c r="AW44" s="76">
        <f t="shared" si="41"/>
        <v>0</v>
      </c>
      <c r="AX44" s="76">
        <f t="shared" si="41"/>
        <v>0</v>
      </c>
      <c r="AY44" s="76">
        <f t="shared" si="41"/>
        <v>0</v>
      </c>
      <c r="AZ44" s="76">
        <f t="shared" si="41"/>
        <v>0</v>
      </c>
      <c r="BA44" s="76">
        <f t="shared" si="41"/>
        <v>0</v>
      </c>
      <c r="BB44" s="76">
        <f t="shared" si="41"/>
        <v>0</v>
      </c>
      <c r="BC44" s="76">
        <f t="shared" si="41"/>
        <v>0</v>
      </c>
      <c r="BD44" s="61"/>
      <c r="BE44" s="76">
        <f t="shared" si="32"/>
        <v>0</v>
      </c>
      <c r="BF44" s="76">
        <f t="shared" si="33"/>
        <v>0</v>
      </c>
      <c r="BG44" s="76">
        <f t="shared" si="33"/>
        <v>0</v>
      </c>
      <c r="BH44" s="76">
        <f t="shared" si="33"/>
        <v>0</v>
      </c>
    </row>
    <row r="45" spans="2:60" ht="21" customHeight="1" x14ac:dyDescent="0.35">
      <c r="B45" s="60" t="str">
        <f>$B$22</f>
        <v>Quality &amp; Safety</v>
      </c>
      <c r="C45" s="48" t="str">
        <f>IF($C$22="","",$C$22)</f>
        <v/>
      </c>
      <c r="D45" s="48" t="str">
        <f t="shared" si="34"/>
        <v/>
      </c>
      <c r="E45" s="47" t="str">
        <f>IF(E$22="","",E$22)</f>
        <v/>
      </c>
      <c r="F45" s="76"/>
      <c r="G45" s="76"/>
      <c r="H45" s="76">
        <f t="shared" si="37"/>
        <v>0</v>
      </c>
      <c r="I45" s="76">
        <f t="shared" si="37"/>
        <v>0</v>
      </c>
      <c r="J45" s="76">
        <f t="shared" si="37"/>
        <v>0</v>
      </c>
      <c r="K45" s="76">
        <f t="shared" si="37"/>
        <v>0</v>
      </c>
      <c r="L45" s="76">
        <f t="shared" si="37"/>
        <v>0</v>
      </c>
      <c r="M45" s="76">
        <f t="shared" si="39"/>
        <v>0</v>
      </c>
      <c r="N45" s="76">
        <f t="shared" si="39"/>
        <v>0</v>
      </c>
      <c r="O45" s="76">
        <f t="shared" si="39"/>
        <v>0</v>
      </c>
      <c r="P45" s="76">
        <f t="shared" si="41"/>
        <v>0</v>
      </c>
      <c r="Q45" s="76">
        <f t="shared" si="41"/>
        <v>0</v>
      </c>
      <c r="R45" s="76">
        <f t="shared" si="41"/>
        <v>0</v>
      </c>
      <c r="S45" s="76">
        <f t="shared" si="41"/>
        <v>0</v>
      </c>
      <c r="T45" s="76">
        <f t="shared" si="41"/>
        <v>0</v>
      </c>
      <c r="U45" s="76">
        <f t="shared" si="41"/>
        <v>0</v>
      </c>
      <c r="V45" s="76">
        <f t="shared" si="41"/>
        <v>0</v>
      </c>
      <c r="W45" s="76">
        <f t="shared" si="41"/>
        <v>0</v>
      </c>
      <c r="X45" s="76">
        <f t="shared" si="41"/>
        <v>0</v>
      </c>
      <c r="Y45" s="76">
        <f t="shared" si="41"/>
        <v>0</v>
      </c>
      <c r="Z45" s="76">
        <f t="shared" si="41"/>
        <v>0</v>
      </c>
      <c r="AA45" s="76">
        <f t="shared" si="41"/>
        <v>0</v>
      </c>
      <c r="AB45" s="76">
        <f t="shared" si="41"/>
        <v>0</v>
      </c>
      <c r="AC45" s="76">
        <f t="shared" si="41"/>
        <v>0</v>
      </c>
      <c r="AD45" s="76">
        <f t="shared" si="41"/>
        <v>0</v>
      </c>
      <c r="AE45" s="76">
        <f t="shared" si="41"/>
        <v>0</v>
      </c>
      <c r="AF45" s="76">
        <f t="shared" si="41"/>
        <v>0</v>
      </c>
      <c r="AG45" s="76">
        <f t="shared" si="41"/>
        <v>0</v>
      </c>
      <c r="AH45" s="76">
        <f t="shared" si="41"/>
        <v>0</v>
      </c>
      <c r="AI45" s="76">
        <f t="shared" si="41"/>
        <v>0</v>
      </c>
      <c r="AJ45" s="76">
        <f t="shared" si="41"/>
        <v>0</v>
      </c>
      <c r="AK45" s="76">
        <f t="shared" si="41"/>
        <v>0</v>
      </c>
      <c r="AL45" s="76">
        <f t="shared" si="41"/>
        <v>0</v>
      </c>
      <c r="AM45" s="76">
        <f t="shared" si="41"/>
        <v>0</v>
      </c>
      <c r="AN45" s="76">
        <f t="shared" si="41"/>
        <v>0</v>
      </c>
      <c r="AO45" s="76">
        <f t="shared" si="41"/>
        <v>0</v>
      </c>
      <c r="AP45" s="76">
        <f t="shared" si="41"/>
        <v>0</v>
      </c>
      <c r="AQ45" s="76">
        <f t="shared" si="41"/>
        <v>0</v>
      </c>
      <c r="AR45" s="76">
        <f t="shared" si="41"/>
        <v>0</v>
      </c>
      <c r="AS45" s="76">
        <f t="shared" si="41"/>
        <v>0</v>
      </c>
      <c r="AT45" s="76">
        <f t="shared" si="41"/>
        <v>0</v>
      </c>
      <c r="AU45" s="76">
        <f t="shared" si="41"/>
        <v>0</v>
      </c>
      <c r="AV45" s="76">
        <f t="shared" si="41"/>
        <v>0</v>
      </c>
      <c r="AW45" s="76">
        <f t="shared" si="41"/>
        <v>0</v>
      </c>
      <c r="AX45" s="76">
        <f t="shared" si="41"/>
        <v>0</v>
      </c>
      <c r="AY45" s="76">
        <f t="shared" si="41"/>
        <v>0</v>
      </c>
      <c r="AZ45" s="76">
        <f t="shared" si="41"/>
        <v>0</v>
      </c>
      <c r="BA45" s="76">
        <f t="shared" si="41"/>
        <v>0</v>
      </c>
      <c r="BB45" s="76">
        <f t="shared" si="41"/>
        <v>0</v>
      </c>
      <c r="BC45" s="76">
        <f t="shared" si="41"/>
        <v>0</v>
      </c>
      <c r="BD45" s="61"/>
      <c r="BE45" s="76">
        <f t="shared" si="32"/>
        <v>0</v>
      </c>
      <c r="BF45" s="76">
        <f t="shared" si="33"/>
        <v>0</v>
      </c>
      <c r="BG45" s="76">
        <f t="shared" si="33"/>
        <v>0</v>
      </c>
      <c r="BH45" s="76">
        <f t="shared" si="33"/>
        <v>0</v>
      </c>
    </row>
    <row r="46" spans="2:60" ht="21" customHeight="1" x14ac:dyDescent="0.35">
      <c r="B46" s="60" t="str">
        <f>$B$23</f>
        <v>Other (staff release for training and implementation activity)</v>
      </c>
      <c r="C46" s="48">
        <f>IF($C$23="","",$C$23)</f>
        <v>43678</v>
      </c>
      <c r="D46" s="48">
        <f t="shared" si="34"/>
        <v>44773</v>
      </c>
      <c r="E46" s="47">
        <f>IF(E$23="","",E$23)</f>
        <v>1</v>
      </c>
      <c r="F46" s="76">
        <f>Other!H19</f>
        <v>0</v>
      </c>
      <c r="G46" s="76">
        <f>Other!H11</f>
        <v>0</v>
      </c>
      <c r="H46" s="76">
        <f t="shared" si="37"/>
        <v>0</v>
      </c>
      <c r="I46" s="76">
        <f t="shared" si="37"/>
        <v>0</v>
      </c>
      <c r="J46" s="76">
        <f t="shared" si="37"/>
        <v>0</v>
      </c>
      <c r="K46" s="76">
        <f t="shared" si="37"/>
        <v>0</v>
      </c>
      <c r="L46" s="76">
        <f t="shared" si="37"/>
        <v>0</v>
      </c>
      <c r="M46" s="76">
        <f t="shared" si="39"/>
        <v>0</v>
      </c>
      <c r="N46" s="76">
        <f t="shared" si="39"/>
        <v>0</v>
      </c>
      <c r="O46" s="76">
        <f t="shared" si="39"/>
        <v>0</v>
      </c>
      <c r="P46" s="76">
        <f t="shared" si="41"/>
        <v>0</v>
      </c>
      <c r="Q46" s="76">
        <f t="shared" si="41"/>
        <v>0</v>
      </c>
      <c r="R46" s="76">
        <f t="shared" si="41"/>
        <v>0</v>
      </c>
      <c r="S46" s="76">
        <f t="shared" si="41"/>
        <v>0</v>
      </c>
      <c r="T46" s="76">
        <f t="shared" si="41"/>
        <v>0</v>
      </c>
      <c r="U46" s="76">
        <f t="shared" si="41"/>
        <v>0</v>
      </c>
      <c r="V46" s="76">
        <f t="shared" si="41"/>
        <v>0</v>
      </c>
      <c r="W46" s="76">
        <f t="shared" si="41"/>
        <v>0</v>
      </c>
      <c r="X46" s="76">
        <f t="shared" si="41"/>
        <v>0</v>
      </c>
      <c r="Y46" s="76">
        <f t="shared" si="41"/>
        <v>0</v>
      </c>
      <c r="Z46" s="76">
        <f t="shared" si="41"/>
        <v>0</v>
      </c>
      <c r="AA46" s="76">
        <f t="shared" si="41"/>
        <v>0</v>
      </c>
      <c r="AB46" s="76">
        <f t="shared" si="41"/>
        <v>0</v>
      </c>
      <c r="AC46" s="76">
        <f t="shared" si="41"/>
        <v>0</v>
      </c>
      <c r="AD46" s="76">
        <f t="shared" si="41"/>
        <v>0</v>
      </c>
      <c r="AE46" s="76">
        <f t="shared" si="41"/>
        <v>0</v>
      </c>
      <c r="AF46" s="76">
        <f t="shared" si="41"/>
        <v>0</v>
      </c>
      <c r="AG46" s="76">
        <f t="shared" si="41"/>
        <v>0</v>
      </c>
      <c r="AH46" s="76">
        <f t="shared" si="41"/>
        <v>0</v>
      </c>
      <c r="AI46" s="76">
        <f t="shared" si="41"/>
        <v>0</v>
      </c>
      <c r="AJ46" s="76">
        <f t="shared" si="41"/>
        <v>0</v>
      </c>
      <c r="AK46" s="76">
        <f t="shared" si="41"/>
        <v>0</v>
      </c>
      <c r="AL46" s="76">
        <f t="shared" si="41"/>
        <v>0</v>
      </c>
      <c r="AM46" s="76">
        <f t="shared" si="41"/>
        <v>0</v>
      </c>
      <c r="AN46" s="76">
        <f t="shared" si="41"/>
        <v>0</v>
      </c>
      <c r="AO46" s="76">
        <f t="shared" si="41"/>
        <v>0</v>
      </c>
      <c r="AP46" s="76">
        <f t="shared" si="41"/>
        <v>0</v>
      </c>
      <c r="AQ46" s="76">
        <f t="shared" si="41"/>
        <v>0</v>
      </c>
      <c r="AR46" s="76">
        <f t="shared" si="41"/>
        <v>0</v>
      </c>
      <c r="AS46" s="76">
        <f t="shared" si="41"/>
        <v>0</v>
      </c>
      <c r="AT46" s="76">
        <f t="shared" si="41"/>
        <v>0</v>
      </c>
      <c r="AU46" s="76">
        <f t="shared" si="41"/>
        <v>0</v>
      </c>
      <c r="AV46" s="76">
        <f t="shared" si="41"/>
        <v>0</v>
      </c>
      <c r="AW46" s="76">
        <f t="shared" si="41"/>
        <v>0</v>
      </c>
      <c r="AX46" s="76">
        <f t="shared" si="41"/>
        <v>0</v>
      </c>
      <c r="AY46" s="76">
        <f t="shared" si="41"/>
        <v>0</v>
      </c>
      <c r="AZ46" s="76">
        <f t="shared" si="41"/>
        <v>0</v>
      </c>
      <c r="BA46" s="76">
        <f t="shared" si="41"/>
        <v>0</v>
      </c>
      <c r="BB46" s="76">
        <f t="shared" si="41"/>
        <v>0</v>
      </c>
      <c r="BC46" s="76">
        <f t="shared" si="41"/>
        <v>0</v>
      </c>
      <c r="BD46" s="61"/>
      <c r="BE46" s="76">
        <f t="shared" si="32"/>
        <v>0</v>
      </c>
      <c r="BF46" s="76">
        <f>SUMIF($H$3:$BD$3,BF$3,$H46:$BD46)</f>
        <v>0</v>
      </c>
      <c r="BG46" s="76">
        <f>SUMIF($H$3:$BD$3,BG$3,$H46:$BD46)</f>
        <v>0</v>
      </c>
      <c r="BH46" s="76">
        <f>SUMIF($H$3:$BD$3,BH$3,$H46:$BD46)</f>
        <v>0</v>
      </c>
    </row>
    <row r="47" spans="2:60" ht="21" customHeight="1" x14ac:dyDescent="0.35">
      <c r="C47" s="51"/>
      <c r="D47" s="51"/>
      <c r="E47" s="52"/>
      <c r="H47" s="61"/>
      <c r="I47" s="61"/>
      <c r="J47" s="61"/>
      <c r="K47" s="61"/>
      <c r="L47" s="61"/>
      <c r="M47" s="61"/>
      <c r="N47" s="61"/>
      <c r="O47" s="61"/>
      <c r="P47" s="61"/>
      <c r="Q47" s="61"/>
      <c r="R47" s="61"/>
      <c r="S47" s="61"/>
      <c r="T47" s="61"/>
      <c r="U47" s="61"/>
      <c r="V47" s="61"/>
      <c r="W47" s="61"/>
      <c r="X47" s="61"/>
      <c r="Y47" s="61"/>
      <c r="Z47" s="61"/>
      <c r="AA47" s="61"/>
      <c r="AB47" s="61"/>
      <c r="AC47" s="61"/>
      <c r="AD47" s="61"/>
      <c r="AE47" s="61"/>
      <c r="AF47" s="61"/>
      <c r="AG47" s="61"/>
      <c r="AH47" s="61"/>
      <c r="AI47" s="61"/>
      <c r="AJ47" s="61"/>
      <c r="AK47" s="61"/>
      <c r="AL47" s="61"/>
      <c r="AM47" s="61"/>
      <c r="AN47" s="61"/>
      <c r="AO47" s="61"/>
      <c r="AP47" s="61"/>
      <c r="AQ47" s="61"/>
      <c r="AR47" s="61"/>
      <c r="AS47" s="61"/>
      <c r="AT47" s="61"/>
      <c r="AU47" s="61"/>
      <c r="AV47" s="61"/>
      <c r="AW47" s="61"/>
      <c r="AX47" s="61"/>
      <c r="AY47" s="61"/>
      <c r="AZ47" s="61"/>
      <c r="BA47" s="61"/>
      <c r="BB47" s="61"/>
      <c r="BC47" s="61"/>
      <c r="BE47" s="61"/>
      <c r="BF47" s="61"/>
      <c r="BG47" s="61"/>
    </row>
    <row r="48" spans="2:60" ht="21" customHeight="1" x14ac:dyDescent="0.35">
      <c r="B48" s="60" t="s">
        <v>178</v>
      </c>
      <c r="C48" s="51"/>
      <c r="D48" s="51"/>
      <c r="E48" s="52"/>
      <c r="H48" s="76">
        <f>SUM(H30:H47)</f>
        <v>254.16666666666666</v>
      </c>
      <c r="I48" s="76">
        <f t="shared" ref="I48:BC48" si="42">SUM(I30:I47)</f>
        <v>254.16666666666666</v>
      </c>
      <c r="J48" s="76">
        <f t="shared" si="42"/>
        <v>900.14116575591981</v>
      </c>
      <c r="K48" s="76">
        <f t="shared" si="42"/>
        <v>1525.2777777777778</v>
      </c>
      <c r="L48" s="76">
        <f t="shared" si="42"/>
        <v>2171.252276867031</v>
      </c>
      <c r="M48" s="76">
        <f t="shared" si="42"/>
        <v>2817.2267759562837</v>
      </c>
      <c r="N48" s="76">
        <f t="shared" si="42"/>
        <v>3521.5255009107468</v>
      </c>
      <c r="O48" s="76">
        <f t="shared" si="42"/>
        <v>4167.5</v>
      </c>
      <c r="P48" s="76">
        <f t="shared" si="42"/>
        <v>4167.5</v>
      </c>
      <c r="Q48" s="76">
        <f t="shared" si="42"/>
        <v>4167.5</v>
      </c>
      <c r="R48" s="76">
        <f t="shared" si="42"/>
        <v>4167.5</v>
      </c>
      <c r="S48" s="76">
        <f t="shared" si="42"/>
        <v>5942.890625</v>
      </c>
      <c r="T48" s="76">
        <f t="shared" si="42"/>
        <v>5692.890625</v>
      </c>
      <c r="U48" s="76">
        <f t="shared" si="42"/>
        <v>5692.890625</v>
      </c>
      <c r="V48" s="76">
        <f t="shared" si="42"/>
        <v>5692.890625</v>
      </c>
      <c r="W48" s="76">
        <f t="shared" si="42"/>
        <v>5692.890625</v>
      </c>
      <c r="X48" s="76">
        <f t="shared" si="42"/>
        <v>5692.890625</v>
      </c>
      <c r="Y48" s="76">
        <f t="shared" si="42"/>
        <v>5692.890625</v>
      </c>
      <c r="Z48" s="76">
        <f t="shared" si="42"/>
        <v>5692.890625</v>
      </c>
      <c r="AA48" s="76">
        <f t="shared" si="42"/>
        <v>5692.890625</v>
      </c>
      <c r="AB48" s="76">
        <f t="shared" si="42"/>
        <v>5692.890625</v>
      </c>
      <c r="AC48" s="76">
        <f t="shared" si="42"/>
        <v>5692.890625</v>
      </c>
      <c r="AD48" s="76">
        <f t="shared" si="42"/>
        <v>5692.890625</v>
      </c>
      <c r="AE48" s="76">
        <f t="shared" si="42"/>
        <v>5692.890625</v>
      </c>
      <c r="AF48" s="76">
        <f t="shared" si="42"/>
        <v>5692.890625</v>
      </c>
      <c r="AG48" s="76">
        <f t="shared" si="42"/>
        <v>5692.890625</v>
      </c>
      <c r="AH48" s="76">
        <f t="shared" si="42"/>
        <v>5692.890625</v>
      </c>
      <c r="AI48" s="76">
        <f t="shared" si="42"/>
        <v>5692.890625</v>
      </c>
      <c r="AJ48" s="76">
        <f t="shared" si="42"/>
        <v>5692.890625</v>
      </c>
      <c r="AK48" s="76">
        <f t="shared" si="42"/>
        <v>5692.890625</v>
      </c>
      <c r="AL48" s="76">
        <f t="shared" si="42"/>
        <v>5692.890625</v>
      </c>
      <c r="AM48" s="76">
        <f t="shared" si="42"/>
        <v>5692.890625</v>
      </c>
      <c r="AN48" s="76">
        <f t="shared" si="42"/>
        <v>5692.890625</v>
      </c>
      <c r="AO48" s="76">
        <f t="shared" si="42"/>
        <v>5692.890625</v>
      </c>
      <c r="AP48" s="76">
        <f t="shared" si="42"/>
        <v>5692.890625</v>
      </c>
      <c r="AQ48" s="76">
        <f t="shared" si="42"/>
        <v>5692.890625</v>
      </c>
      <c r="AR48" s="76">
        <f t="shared" si="42"/>
        <v>5692.890625</v>
      </c>
      <c r="AS48" s="76">
        <f t="shared" si="42"/>
        <v>5692.890625</v>
      </c>
      <c r="AT48" s="76">
        <f t="shared" si="42"/>
        <v>5692.890625</v>
      </c>
      <c r="AU48" s="76">
        <f t="shared" si="42"/>
        <v>5692.890625</v>
      </c>
      <c r="AV48" s="76">
        <f t="shared" si="42"/>
        <v>5692.890625</v>
      </c>
      <c r="AW48" s="76">
        <f t="shared" si="42"/>
        <v>5692.890625</v>
      </c>
      <c r="AX48" s="76">
        <f t="shared" si="42"/>
        <v>5692.890625</v>
      </c>
      <c r="AY48" s="76">
        <f t="shared" si="42"/>
        <v>5692.890625</v>
      </c>
      <c r="AZ48" s="76">
        <f t="shared" si="42"/>
        <v>5692.890625</v>
      </c>
      <c r="BA48" s="76">
        <f t="shared" si="42"/>
        <v>5692.890625</v>
      </c>
      <c r="BB48" s="76">
        <f t="shared" si="42"/>
        <v>5692.890625</v>
      </c>
      <c r="BC48" s="76">
        <f t="shared" si="42"/>
        <v>5692.890625</v>
      </c>
      <c r="BE48" s="76">
        <f>SUM(BE30:BE47)</f>
        <v>34056.647455601094</v>
      </c>
      <c r="BF48" s="76">
        <f>SUM(BF30:BF47)</f>
        <v>68314.6875</v>
      </c>
      <c r="BG48" s="76">
        <f>SUM(BG30:BG47)</f>
        <v>68314.6875</v>
      </c>
      <c r="BH48" s="76">
        <f>SUM(BH30:BH47)</f>
        <v>68314.6875</v>
      </c>
    </row>
    <row r="49" spans="2:60" ht="21" customHeight="1" x14ac:dyDescent="0.35">
      <c r="B49" s="62"/>
      <c r="C49" s="62"/>
      <c r="D49" s="62"/>
      <c r="E49" s="62"/>
    </row>
    <row r="50" spans="2:60" s="75" customFormat="1" ht="21" customHeight="1" x14ac:dyDescent="0.35">
      <c r="B50" s="58" t="s">
        <v>103</v>
      </c>
      <c r="C50" s="74"/>
      <c r="D50" s="74"/>
      <c r="E50" s="74"/>
      <c r="H50" s="76">
        <f t="shared" ref="H50:BC50" si="43">H27-H48</f>
        <v>3054.4648296836986</v>
      </c>
      <c r="I50" s="76">
        <f t="shared" si="43"/>
        <v>3009.7856326034066</v>
      </c>
      <c r="J50" s="76">
        <f t="shared" si="43"/>
        <v>1606.0691992241723</v>
      </c>
      <c r="K50" s="76">
        <f t="shared" si="43"/>
        <v>247.63394111523621</v>
      </c>
      <c r="L50" s="76">
        <f t="shared" si="43"/>
        <v>-1156.0824922639986</v>
      </c>
      <c r="M50" s="76">
        <f t="shared" si="43"/>
        <v>-1761.493254565728</v>
      </c>
      <c r="N50" s="76">
        <f t="shared" si="43"/>
        <v>-2444.5729321802046</v>
      </c>
      <c r="O50" s="76">
        <f t="shared" si="43"/>
        <v>-3067.8650013542997</v>
      </c>
      <c r="P50" s="76">
        <f t="shared" si="43"/>
        <v>-3129.848688956235</v>
      </c>
      <c r="Q50" s="76">
        <f t="shared" si="43"/>
        <v>-3193.8984994782359</v>
      </c>
      <c r="R50" s="76">
        <f t="shared" si="43"/>
        <v>-3255.8821870801717</v>
      </c>
      <c r="S50" s="76">
        <f t="shared" si="43"/>
        <v>-5095.3226226021716</v>
      </c>
      <c r="T50" s="76">
        <f t="shared" si="43"/>
        <v>-4847.0999056516448</v>
      </c>
      <c r="U50" s="76">
        <f t="shared" si="43"/>
        <v>-4848.8198569898441</v>
      </c>
      <c r="V50" s="76">
        <f t="shared" si="43"/>
        <v>-4850.5971400393173</v>
      </c>
      <c r="W50" s="76">
        <f t="shared" si="43"/>
        <v>-4852.3170913775166</v>
      </c>
      <c r="X50" s="76">
        <f t="shared" si="43"/>
        <v>-4854.0943744269889</v>
      </c>
      <c r="Y50" s="76">
        <f t="shared" si="43"/>
        <v>-4855.8716574764621</v>
      </c>
      <c r="Z50" s="76">
        <f t="shared" si="43"/>
        <v>-4857.4769453921144</v>
      </c>
      <c r="AA50" s="76">
        <f t="shared" si="43"/>
        <v>-4859.2542284415877</v>
      </c>
      <c r="AB50" s="76">
        <f t="shared" si="43"/>
        <v>-4860.9741797797869</v>
      </c>
      <c r="AC50" s="76">
        <f t="shared" si="43"/>
        <v>-4862.7514628292602</v>
      </c>
      <c r="AD50" s="76">
        <f t="shared" si="43"/>
        <v>-4864.4714141674604</v>
      </c>
      <c r="AE50" s="76">
        <f t="shared" si="43"/>
        <v>-4866.2486972169327</v>
      </c>
      <c r="AF50" s="76">
        <f t="shared" si="43"/>
        <v>-4868.025980266405</v>
      </c>
      <c r="AG50" s="76">
        <f t="shared" si="43"/>
        <v>-4869.7459316046052</v>
      </c>
      <c r="AH50" s="76">
        <f t="shared" si="43"/>
        <v>-4871.5232146540775</v>
      </c>
      <c r="AI50" s="76">
        <f t="shared" si="43"/>
        <v>-4873.2431659922777</v>
      </c>
      <c r="AJ50" s="76">
        <f t="shared" si="43"/>
        <v>-4875.02044904175</v>
      </c>
      <c r="AK50" s="76">
        <f t="shared" si="43"/>
        <v>-4876.7977320912232</v>
      </c>
      <c r="AL50" s="76">
        <f t="shared" si="43"/>
        <v>-4878.4030200068764</v>
      </c>
      <c r="AM50" s="76">
        <f t="shared" si="43"/>
        <v>-4880.1803030563487</v>
      </c>
      <c r="AN50" s="76">
        <f t="shared" si="43"/>
        <v>-4881.900254394548</v>
      </c>
      <c r="AO50" s="76">
        <f t="shared" si="43"/>
        <v>-4883.6775374440213</v>
      </c>
      <c r="AP50" s="76">
        <f t="shared" si="43"/>
        <v>-4885.3974887822205</v>
      </c>
      <c r="AQ50" s="76">
        <f t="shared" si="43"/>
        <v>-4887.1747718316938</v>
      </c>
      <c r="AR50" s="76">
        <f t="shared" si="43"/>
        <v>-4781.850217898198</v>
      </c>
      <c r="AS50" s="76">
        <f t="shared" si="43"/>
        <v>-4738.8909721561049</v>
      </c>
      <c r="AT50" s="76">
        <f t="shared" si="43"/>
        <v>-4694.4997515559435</v>
      </c>
      <c r="AU50" s="76">
        <f t="shared" si="43"/>
        <v>-4651.5405058138513</v>
      </c>
      <c r="AV50" s="76">
        <f t="shared" si="43"/>
        <v>-4607.1492852136889</v>
      </c>
      <c r="AW50" s="76">
        <f t="shared" si="43"/>
        <v>-4562.7580646135266</v>
      </c>
      <c r="AX50" s="76">
        <f t="shared" si="43"/>
        <v>-4562.7580646135266</v>
      </c>
      <c r="AY50" s="76">
        <f t="shared" si="43"/>
        <v>-4562.7580646135266</v>
      </c>
      <c r="AZ50" s="76">
        <f t="shared" si="43"/>
        <v>-4562.7580646135266</v>
      </c>
      <c r="BA50" s="76">
        <f t="shared" si="43"/>
        <v>-4562.7580646135266</v>
      </c>
      <c r="BB50" s="76">
        <f t="shared" si="43"/>
        <v>-4562.7580646135266</v>
      </c>
      <c r="BC50" s="76">
        <f t="shared" si="43"/>
        <v>-4562.7580646135266</v>
      </c>
      <c r="BE50" s="76">
        <f>BE27-BE48</f>
        <v>-15187.012075854538</v>
      </c>
      <c r="BF50" s="76">
        <f>BF27-BF48</f>
        <v>-58279.976953788908</v>
      </c>
      <c r="BG50" s="76">
        <f>BG27-BG48</f>
        <v>-58531.089849166048</v>
      </c>
      <c r="BH50" s="76">
        <f>BH27-BH48</f>
        <v>-55413.237184932463</v>
      </c>
    </row>
    <row r="52" spans="2:60" ht="21" customHeight="1" x14ac:dyDescent="0.35">
      <c r="B52" s="58" t="s">
        <v>106</v>
      </c>
      <c r="C52" s="53" t="s">
        <v>58</v>
      </c>
      <c r="D52" s="53" t="s">
        <v>153</v>
      </c>
      <c r="E52" s="53" t="s">
        <v>59</v>
      </c>
      <c r="F52" s="53" t="s">
        <v>29</v>
      </c>
      <c r="G52" s="53" t="s">
        <v>307</v>
      </c>
      <c r="H52" s="59">
        <f>H$4</f>
        <v>43708</v>
      </c>
      <c r="I52" s="59">
        <f t="shared" ref="I52:BC52" si="44">I$4</f>
        <v>43738</v>
      </c>
      <c r="J52" s="59">
        <f t="shared" si="44"/>
        <v>43769</v>
      </c>
      <c r="K52" s="59">
        <f t="shared" si="44"/>
        <v>43799</v>
      </c>
      <c r="L52" s="59">
        <f t="shared" si="44"/>
        <v>43830</v>
      </c>
      <c r="M52" s="59">
        <f t="shared" si="44"/>
        <v>43861</v>
      </c>
      <c r="N52" s="59">
        <f t="shared" si="44"/>
        <v>43890</v>
      </c>
      <c r="O52" s="59">
        <f t="shared" si="44"/>
        <v>43921</v>
      </c>
      <c r="P52" s="59">
        <f t="shared" si="44"/>
        <v>43951</v>
      </c>
      <c r="Q52" s="59">
        <f t="shared" si="44"/>
        <v>43982</v>
      </c>
      <c r="R52" s="59">
        <f t="shared" si="44"/>
        <v>44012</v>
      </c>
      <c r="S52" s="59">
        <f t="shared" si="44"/>
        <v>44043</v>
      </c>
      <c r="T52" s="59">
        <f t="shared" si="44"/>
        <v>44074</v>
      </c>
      <c r="U52" s="59">
        <f t="shared" si="44"/>
        <v>44104</v>
      </c>
      <c r="V52" s="59">
        <f t="shared" si="44"/>
        <v>44135</v>
      </c>
      <c r="W52" s="59">
        <f t="shared" si="44"/>
        <v>44165</v>
      </c>
      <c r="X52" s="59">
        <f t="shared" si="44"/>
        <v>44196</v>
      </c>
      <c r="Y52" s="59">
        <f t="shared" si="44"/>
        <v>44227</v>
      </c>
      <c r="Z52" s="59">
        <f t="shared" si="44"/>
        <v>44255</v>
      </c>
      <c r="AA52" s="59">
        <f t="shared" si="44"/>
        <v>44286</v>
      </c>
      <c r="AB52" s="59">
        <f t="shared" si="44"/>
        <v>44316</v>
      </c>
      <c r="AC52" s="59">
        <f t="shared" si="44"/>
        <v>44347</v>
      </c>
      <c r="AD52" s="59">
        <f t="shared" si="44"/>
        <v>44377</v>
      </c>
      <c r="AE52" s="59">
        <f t="shared" si="44"/>
        <v>44408</v>
      </c>
      <c r="AF52" s="59">
        <f t="shared" si="44"/>
        <v>44439</v>
      </c>
      <c r="AG52" s="59">
        <f t="shared" si="44"/>
        <v>44469</v>
      </c>
      <c r="AH52" s="59">
        <f t="shared" si="44"/>
        <v>44500</v>
      </c>
      <c r="AI52" s="59">
        <f t="shared" si="44"/>
        <v>44530</v>
      </c>
      <c r="AJ52" s="59">
        <f t="shared" si="44"/>
        <v>44561</v>
      </c>
      <c r="AK52" s="59">
        <f t="shared" si="44"/>
        <v>44592</v>
      </c>
      <c r="AL52" s="59">
        <f t="shared" si="44"/>
        <v>44620</v>
      </c>
      <c r="AM52" s="59">
        <f t="shared" si="44"/>
        <v>44651</v>
      </c>
      <c r="AN52" s="59">
        <f t="shared" si="44"/>
        <v>44681</v>
      </c>
      <c r="AO52" s="59">
        <f t="shared" si="44"/>
        <v>44712</v>
      </c>
      <c r="AP52" s="59">
        <f t="shared" si="44"/>
        <v>44742</v>
      </c>
      <c r="AQ52" s="59">
        <f t="shared" si="44"/>
        <v>44773</v>
      </c>
      <c r="AR52" s="59">
        <f t="shared" si="44"/>
        <v>44804</v>
      </c>
      <c r="AS52" s="59">
        <f t="shared" si="44"/>
        <v>44834</v>
      </c>
      <c r="AT52" s="59">
        <f t="shared" si="44"/>
        <v>44865</v>
      </c>
      <c r="AU52" s="59">
        <f t="shared" si="44"/>
        <v>44895</v>
      </c>
      <c r="AV52" s="59">
        <f t="shared" si="44"/>
        <v>44926</v>
      </c>
      <c r="AW52" s="59">
        <f t="shared" si="44"/>
        <v>44957</v>
      </c>
      <c r="AX52" s="59">
        <f t="shared" si="44"/>
        <v>44985</v>
      </c>
      <c r="AY52" s="59">
        <f t="shared" si="44"/>
        <v>45016</v>
      </c>
      <c r="AZ52" s="59">
        <f t="shared" si="44"/>
        <v>45046</v>
      </c>
      <c r="BA52" s="59">
        <f t="shared" si="44"/>
        <v>45077</v>
      </c>
      <c r="BB52" s="59">
        <f t="shared" si="44"/>
        <v>45107</v>
      </c>
      <c r="BC52" s="59">
        <f t="shared" si="44"/>
        <v>45138</v>
      </c>
      <c r="BE52" s="72">
        <f>BE$3</f>
        <v>1</v>
      </c>
      <c r="BF52" s="72">
        <f>BF$3</f>
        <v>2</v>
      </c>
      <c r="BG52" s="72">
        <f>BG$3</f>
        <v>3</v>
      </c>
      <c r="BH52" s="72">
        <f>BH$3</f>
        <v>4</v>
      </c>
    </row>
    <row r="53" spans="2:60" ht="21" customHeight="1" x14ac:dyDescent="0.35">
      <c r="B53" s="60" t="str">
        <f>$B$7</f>
        <v>HCH Capitation Funding - Implementation</v>
      </c>
      <c r="C53" s="48">
        <f>IF($C$7="","",$C$7)</f>
        <v>43678</v>
      </c>
      <c r="D53" s="48">
        <f>IF(D30="","",D30)</f>
        <v>44773</v>
      </c>
      <c r="E53" s="47">
        <f>IF(E$7="","",E$7)</f>
        <v>1</v>
      </c>
      <c r="F53" s="80"/>
      <c r="G53" s="76"/>
      <c r="H53" s="80"/>
      <c r="I53" s="80"/>
      <c r="J53" s="80"/>
      <c r="K53" s="80"/>
      <c r="L53" s="80"/>
      <c r="M53" s="80"/>
      <c r="N53" s="80"/>
      <c r="O53" s="80"/>
      <c r="P53" s="80"/>
      <c r="Q53" s="80"/>
      <c r="R53" s="80"/>
      <c r="S53" s="80"/>
      <c r="T53" s="80"/>
      <c r="U53" s="80"/>
      <c r="V53" s="80"/>
      <c r="W53" s="80"/>
      <c r="X53" s="80"/>
      <c r="Y53" s="80"/>
      <c r="Z53" s="80"/>
      <c r="AA53" s="80"/>
      <c r="AB53" s="80"/>
      <c r="AC53" s="80"/>
      <c r="AD53" s="80"/>
      <c r="AE53" s="80"/>
      <c r="AF53" s="80"/>
      <c r="AG53" s="80"/>
      <c r="AH53" s="80"/>
      <c r="AI53" s="80"/>
      <c r="AJ53" s="80"/>
      <c r="AK53" s="80"/>
      <c r="AL53" s="80"/>
      <c r="AM53" s="80"/>
      <c r="AN53" s="80"/>
      <c r="AO53" s="80"/>
      <c r="AP53" s="80"/>
      <c r="AQ53" s="80"/>
      <c r="AR53" s="80"/>
      <c r="AS53" s="80"/>
      <c r="AT53" s="80"/>
      <c r="AU53" s="80"/>
      <c r="AV53" s="80"/>
      <c r="AW53" s="80"/>
      <c r="AX53" s="80"/>
      <c r="AY53" s="80"/>
      <c r="AZ53" s="80"/>
      <c r="BA53" s="80"/>
      <c r="BB53" s="80"/>
      <c r="BC53" s="80"/>
    </row>
    <row r="54" spans="2:60" ht="21" customHeight="1" x14ac:dyDescent="0.35">
      <c r="B54" s="60" t="str">
        <f>$B$8</f>
        <v>HCH Capitation Funding - At Risk</v>
      </c>
      <c r="C54" s="48">
        <f>IF($C$8="","",$C$8)</f>
        <v>43678</v>
      </c>
      <c r="D54" s="48">
        <f t="shared" ref="D54:D69" si="45">IF(D31="","",D31)</f>
        <v>44773</v>
      </c>
      <c r="E54" s="47">
        <f>IF(E$8="","",E$8)</f>
        <v>1</v>
      </c>
      <c r="F54" s="80"/>
      <c r="G54" s="76"/>
      <c r="H54" s="80"/>
      <c r="I54" s="80"/>
      <c r="J54" s="80"/>
      <c r="K54" s="80"/>
      <c r="L54" s="80"/>
      <c r="M54" s="80"/>
      <c r="N54" s="80"/>
      <c r="O54" s="80"/>
      <c r="P54" s="80"/>
      <c r="Q54" s="80"/>
      <c r="R54" s="80"/>
      <c r="S54" s="80"/>
      <c r="T54" s="80"/>
      <c r="U54" s="80"/>
      <c r="V54" s="80"/>
      <c r="W54" s="80"/>
      <c r="X54" s="80"/>
      <c r="Y54" s="80"/>
      <c r="Z54" s="80"/>
      <c r="AA54" s="80"/>
      <c r="AB54" s="80"/>
      <c r="AC54" s="80"/>
      <c r="AD54" s="80"/>
      <c r="AE54" s="80"/>
      <c r="AF54" s="80"/>
      <c r="AG54" s="80"/>
      <c r="AH54" s="80"/>
      <c r="AI54" s="80"/>
      <c r="AJ54" s="80"/>
      <c r="AK54" s="80"/>
      <c r="AL54" s="80"/>
      <c r="AM54" s="80"/>
      <c r="AN54" s="80"/>
      <c r="AO54" s="80"/>
      <c r="AP54" s="80"/>
      <c r="AQ54" s="80"/>
      <c r="AR54" s="80"/>
      <c r="AS54" s="80"/>
      <c r="AT54" s="80"/>
      <c r="AU54" s="80"/>
      <c r="AV54" s="80"/>
      <c r="AW54" s="80"/>
      <c r="AX54" s="80"/>
      <c r="AY54" s="80"/>
      <c r="AZ54" s="80"/>
      <c r="BA54" s="80"/>
      <c r="BB54" s="80"/>
      <c r="BC54" s="80"/>
    </row>
    <row r="55" spans="2:60" ht="21" customHeight="1" x14ac:dyDescent="0.35">
      <c r="B55" s="60" t="str">
        <f>$B$9</f>
        <v>Equity</v>
      </c>
      <c r="C55" s="48" t="str">
        <f>IF($C$9="","",$C$9)</f>
        <v/>
      </c>
      <c r="D55" s="48" t="str">
        <f t="shared" si="45"/>
        <v/>
      </c>
      <c r="E55" s="47" t="str">
        <f>IF(E$9="","",E$9)</f>
        <v/>
      </c>
      <c r="F55" s="80"/>
      <c r="G55" s="76"/>
      <c r="H55" s="80">
        <f t="shared" ref="H55:AQ62" si="46">IFERROR(MIN(1,MAX(0,(EOMONTH(H$4,0)+1-$C55)/(EDATE($C55,$E55)-$C55)))*$F55/12+IF(H$3=1,$G55/12,0),0)</f>
        <v>0</v>
      </c>
      <c r="I55" s="80">
        <f t="shared" si="46"/>
        <v>0</v>
      </c>
      <c r="J55" s="80">
        <f t="shared" si="46"/>
        <v>0</v>
      </c>
      <c r="K55" s="80">
        <f t="shared" si="46"/>
        <v>0</v>
      </c>
      <c r="L55" s="80">
        <f t="shared" si="46"/>
        <v>0</v>
      </c>
      <c r="M55" s="80">
        <f t="shared" si="46"/>
        <v>0</v>
      </c>
      <c r="N55" s="80">
        <f t="shared" si="46"/>
        <v>0</v>
      </c>
      <c r="O55" s="80">
        <f t="shared" si="46"/>
        <v>0</v>
      </c>
      <c r="P55" s="80">
        <f t="shared" si="46"/>
        <v>0</v>
      </c>
      <c r="Q55" s="80">
        <f t="shared" si="46"/>
        <v>0</v>
      </c>
      <c r="R55" s="80">
        <f t="shared" si="46"/>
        <v>0</v>
      </c>
      <c r="S55" s="80">
        <f t="shared" si="46"/>
        <v>0</v>
      </c>
      <c r="T55" s="80">
        <f t="shared" si="46"/>
        <v>0</v>
      </c>
      <c r="U55" s="80">
        <f t="shared" si="46"/>
        <v>0</v>
      </c>
      <c r="V55" s="80">
        <f t="shared" si="46"/>
        <v>0</v>
      </c>
      <c r="W55" s="80">
        <f t="shared" si="46"/>
        <v>0</v>
      </c>
      <c r="X55" s="80">
        <f t="shared" si="46"/>
        <v>0</v>
      </c>
      <c r="Y55" s="80">
        <f t="shared" si="46"/>
        <v>0</v>
      </c>
      <c r="Z55" s="80">
        <f t="shared" si="46"/>
        <v>0</v>
      </c>
      <c r="AA55" s="80">
        <f t="shared" si="46"/>
        <v>0</v>
      </c>
      <c r="AB55" s="80">
        <f t="shared" si="46"/>
        <v>0</v>
      </c>
      <c r="AC55" s="80">
        <f t="shared" si="46"/>
        <v>0</v>
      </c>
      <c r="AD55" s="80">
        <f t="shared" si="46"/>
        <v>0</v>
      </c>
      <c r="AE55" s="80">
        <f t="shared" si="46"/>
        <v>0</v>
      </c>
      <c r="AF55" s="80">
        <f t="shared" si="46"/>
        <v>0</v>
      </c>
      <c r="AG55" s="80">
        <f t="shared" si="46"/>
        <v>0</v>
      </c>
      <c r="AH55" s="80">
        <f t="shared" si="46"/>
        <v>0</v>
      </c>
      <c r="AI55" s="80">
        <f t="shared" si="46"/>
        <v>0</v>
      </c>
      <c r="AJ55" s="80">
        <f t="shared" si="46"/>
        <v>0</v>
      </c>
      <c r="AK55" s="80">
        <f t="shared" si="46"/>
        <v>0</v>
      </c>
      <c r="AL55" s="80">
        <f t="shared" si="46"/>
        <v>0</v>
      </c>
      <c r="AM55" s="80">
        <f t="shared" si="46"/>
        <v>0</v>
      </c>
      <c r="AN55" s="80">
        <f t="shared" si="46"/>
        <v>0</v>
      </c>
      <c r="AO55" s="80">
        <f t="shared" si="46"/>
        <v>0</v>
      </c>
      <c r="AP55" s="80">
        <f t="shared" si="46"/>
        <v>0</v>
      </c>
      <c r="AQ55" s="80">
        <f t="shared" si="46"/>
        <v>0</v>
      </c>
      <c r="AR55" s="80">
        <f t="shared" ref="AR55:BC61" si="47">IFERROR(MIN(1,MAX(0,(EOMONTH(AR$4,0)+1-$C55)/(EDATE($C55,$E55)-$C55)))*$F55/12+IF(AR$3=1,$G55/12,0),0)</f>
        <v>0</v>
      </c>
      <c r="AS55" s="80">
        <f t="shared" si="47"/>
        <v>0</v>
      </c>
      <c r="AT55" s="80">
        <f t="shared" si="47"/>
        <v>0</v>
      </c>
      <c r="AU55" s="80">
        <f t="shared" si="47"/>
        <v>0</v>
      </c>
      <c r="AV55" s="80">
        <f t="shared" si="47"/>
        <v>0</v>
      </c>
      <c r="AW55" s="80">
        <f t="shared" si="47"/>
        <v>0</v>
      </c>
      <c r="AX55" s="80">
        <f t="shared" si="47"/>
        <v>0</v>
      </c>
      <c r="AY55" s="80">
        <f t="shared" si="47"/>
        <v>0</v>
      </c>
      <c r="AZ55" s="80">
        <f t="shared" si="47"/>
        <v>0</v>
      </c>
      <c r="BA55" s="80">
        <f t="shared" si="47"/>
        <v>0</v>
      </c>
      <c r="BB55" s="80">
        <f t="shared" si="47"/>
        <v>0</v>
      </c>
      <c r="BC55" s="80">
        <f t="shared" si="47"/>
        <v>0</v>
      </c>
      <c r="BE55" s="76">
        <f>SUMIF($H$3:$BD$3,BE$3,$H55:$BD55)</f>
        <v>0</v>
      </c>
      <c r="BF55" s="76">
        <f t="shared" ref="BF55:BH69" si="48">SUMIF($H$3:$BD$3,BF$3,$H55:$BD55)</f>
        <v>0</v>
      </c>
      <c r="BG55" s="76">
        <f t="shared" si="48"/>
        <v>0</v>
      </c>
      <c r="BH55" s="76">
        <f t="shared" si="48"/>
        <v>0</v>
      </c>
    </row>
    <row r="56" spans="2:60" ht="21" customHeight="1" x14ac:dyDescent="0.35">
      <c r="B56" s="60" t="str">
        <f>$B$10</f>
        <v>Call Management</v>
      </c>
      <c r="C56" s="48">
        <f>IF($C$10="","",$C$10)</f>
        <v>43678</v>
      </c>
      <c r="D56" s="48" t="str">
        <f t="shared" si="45"/>
        <v/>
      </c>
      <c r="E56" s="47">
        <f>IF(E$10="","",E$10)</f>
        <v>1</v>
      </c>
      <c r="F56" s="80"/>
      <c r="G56" s="76"/>
      <c r="H56" s="80">
        <f t="shared" si="46"/>
        <v>0</v>
      </c>
      <c r="I56" s="80">
        <f t="shared" si="46"/>
        <v>0</v>
      </c>
      <c r="J56" s="80">
        <f t="shared" si="46"/>
        <v>0</v>
      </c>
      <c r="K56" s="80">
        <f t="shared" si="46"/>
        <v>0</v>
      </c>
      <c r="L56" s="80">
        <f t="shared" si="46"/>
        <v>0</v>
      </c>
      <c r="M56" s="80">
        <f t="shared" si="46"/>
        <v>0</v>
      </c>
      <c r="N56" s="80">
        <f t="shared" si="46"/>
        <v>0</v>
      </c>
      <c r="O56" s="80">
        <f t="shared" si="46"/>
        <v>0</v>
      </c>
      <c r="P56" s="80">
        <f t="shared" si="46"/>
        <v>0</v>
      </c>
      <c r="Q56" s="80">
        <f t="shared" si="46"/>
        <v>0</v>
      </c>
      <c r="R56" s="80">
        <f t="shared" si="46"/>
        <v>0</v>
      </c>
      <c r="S56" s="80">
        <f t="shared" si="46"/>
        <v>0</v>
      </c>
      <c r="T56" s="80">
        <f t="shared" si="46"/>
        <v>0</v>
      </c>
      <c r="U56" s="80">
        <f t="shared" si="46"/>
        <v>0</v>
      </c>
      <c r="V56" s="80">
        <f t="shared" si="46"/>
        <v>0</v>
      </c>
      <c r="W56" s="80">
        <f t="shared" si="46"/>
        <v>0</v>
      </c>
      <c r="X56" s="80">
        <f t="shared" si="46"/>
        <v>0</v>
      </c>
      <c r="Y56" s="80">
        <f t="shared" si="46"/>
        <v>0</v>
      </c>
      <c r="Z56" s="80">
        <f t="shared" si="46"/>
        <v>0</v>
      </c>
      <c r="AA56" s="80">
        <f t="shared" si="46"/>
        <v>0</v>
      </c>
      <c r="AB56" s="80">
        <f t="shared" si="46"/>
        <v>0</v>
      </c>
      <c r="AC56" s="80">
        <f t="shared" si="46"/>
        <v>0</v>
      </c>
      <c r="AD56" s="80">
        <f t="shared" si="46"/>
        <v>0</v>
      </c>
      <c r="AE56" s="80">
        <f t="shared" si="46"/>
        <v>0</v>
      </c>
      <c r="AF56" s="80">
        <f t="shared" si="46"/>
        <v>0</v>
      </c>
      <c r="AG56" s="80">
        <f t="shared" si="46"/>
        <v>0</v>
      </c>
      <c r="AH56" s="80">
        <f t="shared" si="46"/>
        <v>0</v>
      </c>
      <c r="AI56" s="80">
        <f t="shared" si="46"/>
        <v>0</v>
      </c>
      <c r="AJ56" s="80">
        <f t="shared" si="46"/>
        <v>0</v>
      </c>
      <c r="AK56" s="80">
        <f t="shared" si="46"/>
        <v>0</v>
      </c>
      <c r="AL56" s="80">
        <f t="shared" si="46"/>
        <v>0</v>
      </c>
      <c r="AM56" s="80">
        <f t="shared" si="46"/>
        <v>0</v>
      </c>
      <c r="AN56" s="80">
        <f t="shared" si="46"/>
        <v>0</v>
      </c>
      <c r="AO56" s="80">
        <f t="shared" si="46"/>
        <v>0</v>
      </c>
      <c r="AP56" s="80">
        <f t="shared" si="46"/>
        <v>0</v>
      </c>
      <c r="AQ56" s="80">
        <f t="shared" si="46"/>
        <v>0</v>
      </c>
      <c r="AR56" s="80">
        <f t="shared" si="47"/>
        <v>0</v>
      </c>
      <c r="AS56" s="80">
        <f t="shared" si="47"/>
        <v>0</v>
      </c>
      <c r="AT56" s="80">
        <f t="shared" si="47"/>
        <v>0</v>
      </c>
      <c r="AU56" s="80">
        <f t="shared" si="47"/>
        <v>0</v>
      </c>
      <c r="AV56" s="80">
        <f t="shared" si="47"/>
        <v>0</v>
      </c>
      <c r="AW56" s="80">
        <f t="shared" si="47"/>
        <v>0</v>
      </c>
      <c r="AX56" s="80">
        <f t="shared" si="47"/>
        <v>0</v>
      </c>
      <c r="AY56" s="80">
        <f t="shared" si="47"/>
        <v>0</v>
      </c>
      <c r="AZ56" s="80">
        <f t="shared" si="47"/>
        <v>0</v>
      </c>
      <c r="BA56" s="80">
        <f t="shared" si="47"/>
        <v>0</v>
      </c>
      <c r="BB56" s="80">
        <f t="shared" si="47"/>
        <v>0</v>
      </c>
      <c r="BC56" s="80">
        <f t="shared" si="47"/>
        <v>0</v>
      </c>
      <c r="BE56" s="76">
        <f t="shared" ref="BE56:BE69" si="49">SUMIF($H$3:$BD$3,BE$3,$H56:$BD56)</f>
        <v>0</v>
      </c>
      <c r="BF56" s="76">
        <f t="shared" si="48"/>
        <v>0</v>
      </c>
      <c r="BG56" s="76">
        <f t="shared" si="48"/>
        <v>0</v>
      </c>
      <c r="BH56" s="76">
        <f t="shared" si="48"/>
        <v>0</v>
      </c>
    </row>
    <row r="57" spans="2:60" ht="21" customHeight="1" x14ac:dyDescent="0.35">
      <c r="B57" s="60" t="str">
        <f>$B$11</f>
        <v>GP triage</v>
      </c>
      <c r="C57" s="48">
        <f>IF($C$11="","",$C$11)</f>
        <v>43739</v>
      </c>
      <c r="D57" s="48" t="str">
        <f t="shared" si="45"/>
        <v/>
      </c>
      <c r="E57" s="47">
        <f>IF(E$11="","",E$11)</f>
        <v>3</v>
      </c>
      <c r="F57" s="80">
        <f>'GP Triage'!C49</f>
        <v>-76980</v>
      </c>
      <c r="G57" s="76"/>
      <c r="H57" s="80">
        <f t="shared" si="46"/>
        <v>0</v>
      </c>
      <c r="I57" s="80">
        <f t="shared" si="46"/>
        <v>0</v>
      </c>
      <c r="J57" s="80">
        <f t="shared" si="46"/>
        <v>-2161.5760869565215</v>
      </c>
      <c r="K57" s="80">
        <f t="shared" si="46"/>
        <v>-4253.423913043478</v>
      </c>
      <c r="L57" s="80">
        <f t="shared" si="46"/>
        <v>-6415</v>
      </c>
      <c r="M57" s="80">
        <f t="shared" si="46"/>
        <v>-6415</v>
      </c>
      <c r="N57" s="80">
        <f t="shared" si="46"/>
        <v>-6415</v>
      </c>
      <c r="O57" s="80">
        <f t="shared" si="46"/>
        <v>-6415</v>
      </c>
      <c r="P57" s="80">
        <f t="shared" si="46"/>
        <v>-6415</v>
      </c>
      <c r="Q57" s="80">
        <f t="shared" si="46"/>
        <v>-6415</v>
      </c>
      <c r="R57" s="80">
        <f t="shared" si="46"/>
        <v>-6415</v>
      </c>
      <c r="S57" s="80">
        <f t="shared" si="46"/>
        <v>-6415</v>
      </c>
      <c r="T57" s="80">
        <f t="shared" si="46"/>
        <v>-6415</v>
      </c>
      <c r="U57" s="80">
        <f t="shared" si="46"/>
        <v>-6415</v>
      </c>
      <c r="V57" s="80">
        <f t="shared" si="46"/>
        <v>-6415</v>
      </c>
      <c r="W57" s="80">
        <f t="shared" si="46"/>
        <v>-6415</v>
      </c>
      <c r="X57" s="80">
        <f t="shared" si="46"/>
        <v>-6415</v>
      </c>
      <c r="Y57" s="80">
        <f t="shared" si="46"/>
        <v>-6415</v>
      </c>
      <c r="Z57" s="80">
        <f t="shared" si="46"/>
        <v>-6415</v>
      </c>
      <c r="AA57" s="80">
        <f t="shared" si="46"/>
        <v>-6415</v>
      </c>
      <c r="AB57" s="80">
        <f t="shared" si="46"/>
        <v>-6415</v>
      </c>
      <c r="AC57" s="80">
        <f t="shared" si="46"/>
        <v>-6415</v>
      </c>
      <c r="AD57" s="80">
        <f t="shared" si="46"/>
        <v>-6415</v>
      </c>
      <c r="AE57" s="80">
        <f t="shared" si="46"/>
        <v>-6415</v>
      </c>
      <c r="AF57" s="80">
        <f t="shared" si="46"/>
        <v>-6415</v>
      </c>
      <c r="AG57" s="80">
        <f t="shared" si="46"/>
        <v>-6415</v>
      </c>
      <c r="AH57" s="80">
        <f t="shared" si="46"/>
        <v>-6415</v>
      </c>
      <c r="AI57" s="80">
        <f t="shared" si="46"/>
        <v>-6415</v>
      </c>
      <c r="AJ57" s="80">
        <f t="shared" si="46"/>
        <v>-6415</v>
      </c>
      <c r="AK57" s="80">
        <f t="shared" si="46"/>
        <v>-6415</v>
      </c>
      <c r="AL57" s="80">
        <f t="shared" si="46"/>
        <v>-6415</v>
      </c>
      <c r="AM57" s="80">
        <f t="shared" si="46"/>
        <v>-6415</v>
      </c>
      <c r="AN57" s="80">
        <f t="shared" si="46"/>
        <v>-6415</v>
      </c>
      <c r="AO57" s="80">
        <f t="shared" si="46"/>
        <v>-6415</v>
      </c>
      <c r="AP57" s="80">
        <f t="shared" si="46"/>
        <v>-6415</v>
      </c>
      <c r="AQ57" s="80">
        <f t="shared" si="46"/>
        <v>-6415</v>
      </c>
      <c r="AR57" s="80">
        <f t="shared" si="47"/>
        <v>-6415</v>
      </c>
      <c r="AS57" s="80">
        <f t="shared" si="47"/>
        <v>-6415</v>
      </c>
      <c r="AT57" s="80">
        <f t="shared" si="47"/>
        <v>-6415</v>
      </c>
      <c r="AU57" s="80">
        <f t="shared" si="47"/>
        <v>-6415</v>
      </c>
      <c r="AV57" s="80">
        <f t="shared" si="47"/>
        <v>-6415</v>
      </c>
      <c r="AW57" s="80">
        <f t="shared" si="47"/>
        <v>-6415</v>
      </c>
      <c r="AX57" s="80">
        <f t="shared" si="47"/>
        <v>-6415</v>
      </c>
      <c r="AY57" s="80">
        <f t="shared" si="47"/>
        <v>-6415</v>
      </c>
      <c r="AZ57" s="80">
        <f t="shared" si="47"/>
        <v>-6415</v>
      </c>
      <c r="BA57" s="80">
        <f t="shared" si="47"/>
        <v>-6415</v>
      </c>
      <c r="BB57" s="80">
        <f t="shared" si="47"/>
        <v>-6415</v>
      </c>
      <c r="BC57" s="80">
        <f t="shared" si="47"/>
        <v>-6415</v>
      </c>
      <c r="BD57" s="61"/>
      <c r="BE57" s="76">
        <f t="shared" si="49"/>
        <v>-57735</v>
      </c>
      <c r="BF57" s="76">
        <f t="shared" si="48"/>
        <v>-76980</v>
      </c>
      <c r="BG57" s="76">
        <f t="shared" si="48"/>
        <v>-76980</v>
      </c>
      <c r="BH57" s="76">
        <f t="shared" si="48"/>
        <v>-76980</v>
      </c>
    </row>
    <row r="58" spans="2:60" ht="21" customHeight="1" x14ac:dyDescent="0.35">
      <c r="B58" s="60" t="str">
        <f>$B$12</f>
        <v>YOC</v>
      </c>
      <c r="C58" s="48">
        <f>IF($C$12="","",$C$12)</f>
        <v>43862</v>
      </c>
      <c r="D58" s="48" t="str">
        <f t="shared" si="45"/>
        <v/>
      </c>
      <c r="E58" s="47">
        <f>IF(E$12="","",E$12)</f>
        <v>36</v>
      </c>
      <c r="F58" s="80">
        <f>IF(YOC_Include="Yes",YOC!C53,0)</f>
        <v>-22500</v>
      </c>
      <c r="G58" s="76"/>
      <c r="H58" s="80">
        <f t="shared" si="46"/>
        <v>0</v>
      </c>
      <c r="I58" s="80">
        <f t="shared" si="46"/>
        <v>0</v>
      </c>
      <c r="J58" s="80">
        <f t="shared" si="46"/>
        <v>0</v>
      </c>
      <c r="K58" s="80">
        <f t="shared" si="46"/>
        <v>0</v>
      </c>
      <c r="L58" s="80">
        <f t="shared" si="46"/>
        <v>0</v>
      </c>
      <c r="M58" s="80">
        <f t="shared" si="46"/>
        <v>0</v>
      </c>
      <c r="N58" s="80">
        <f t="shared" si="46"/>
        <v>-49.612226277372258</v>
      </c>
      <c r="O58" s="80">
        <f t="shared" si="46"/>
        <v>-102.64598540145987</v>
      </c>
      <c r="P58" s="80">
        <f t="shared" si="46"/>
        <v>-153.96897810218977</v>
      </c>
      <c r="Q58" s="80">
        <f t="shared" si="46"/>
        <v>-207.00273722627739</v>
      </c>
      <c r="R58" s="80">
        <f t="shared" si="46"/>
        <v>-258.32572992700733</v>
      </c>
      <c r="S58" s="80">
        <f t="shared" si="46"/>
        <v>-311.35948905109484</v>
      </c>
      <c r="T58" s="80">
        <f t="shared" si="46"/>
        <v>-364.39324817518246</v>
      </c>
      <c r="U58" s="80">
        <f t="shared" si="46"/>
        <v>-415.71624087591243</v>
      </c>
      <c r="V58" s="80">
        <f t="shared" si="46"/>
        <v>-468.75</v>
      </c>
      <c r="W58" s="80">
        <f t="shared" si="46"/>
        <v>-520.07299270072997</v>
      </c>
      <c r="X58" s="80">
        <f t="shared" si="46"/>
        <v>-573.10675182481748</v>
      </c>
      <c r="Y58" s="80">
        <f t="shared" si="46"/>
        <v>-626.1405109489051</v>
      </c>
      <c r="Z58" s="80">
        <f t="shared" si="46"/>
        <v>-674.04197080291965</v>
      </c>
      <c r="AA58" s="80">
        <f t="shared" si="46"/>
        <v>-727.07572992700727</v>
      </c>
      <c r="AB58" s="80">
        <f t="shared" si="46"/>
        <v>-778.39872262773724</v>
      </c>
      <c r="AC58" s="80">
        <f t="shared" si="46"/>
        <v>-831.43248175182487</v>
      </c>
      <c r="AD58" s="80">
        <f t="shared" si="46"/>
        <v>-882.75547445255472</v>
      </c>
      <c r="AE58" s="80">
        <f t="shared" si="46"/>
        <v>-935.78923357664235</v>
      </c>
      <c r="AF58" s="80">
        <f t="shared" si="46"/>
        <v>-988.82299270072997</v>
      </c>
      <c r="AG58" s="80">
        <f t="shared" si="46"/>
        <v>-1040.1459854014599</v>
      </c>
      <c r="AH58" s="80">
        <f t="shared" si="46"/>
        <v>-1093.1797445255474</v>
      </c>
      <c r="AI58" s="80">
        <f t="shared" si="46"/>
        <v>-1144.5027372262773</v>
      </c>
      <c r="AJ58" s="80">
        <f t="shared" si="46"/>
        <v>-1197.536496350365</v>
      </c>
      <c r="AK58" s="80">
        <f t="shared" si="46"/>
        <v>-1250.5702554744526</v>
      </c>
      <c r="AL58" s="80">
        <f t="shared" si="46"/>
        <v>-1298.4717153284671</v>
      </c>
      <c r="AM58" s="80">
        <f t="shared" si="46"/>
        <v>-1351.5054744525548</v>
      </c>
      <c r="AN58" s="80">
        <f t="shared" si="46"/>
        <v>-1402.8284671532847</v>
      </c>
      <c r="AO58" s="80">
        <f t="shared" si="46"/>
        <v>-1455.8622262773722</v>
      </c>
      <c r="AP58" s="80">
        <f t="shared" si="46"/>
        <v>-1507.1852189781021</v>
      </c>
      <c r="AQ58" s="80">
        <f t="shared" si="46"/>
        <v>-1560.2189781021898</v>
      </c>
      <c r="AR58" s="80">
        <f t="shared" si="47"/>
        <v>-1613.2527372262775</v>
      </c>
      <c r="AS58" s="80">
        <f t="shared" si="47"/>
        <v>-1664.5757299270074</v>
      </c>
      <c r="AT58" s="80">
        <f t="shared" si="47"/>
        <v>-1717.6094890510949</v>
      </c>
      <c r="AU58" s="80">
        <f t="shared" si="47"/>
        <v>-1768.9324817518248</v>
      </c>
      <c r="AV58" s="80">
        <f t="shared" si="47"/>
        <v>-1821.9662408759123</v>
      </c>
      <c r="AW58" s="80">
        <f t="shared" si="47"/>
        <v>-1875</v>
      </c>
      <c r="AX58" s="80">
        <f t="shared" si="47"/>
        <v>-1875</v>
      </c>
      <c r="AY58" s="80">
        <f t="shared" si="47"/>
        <v>-1875</v>
      </c>
      <c r="AZ58" s="80">
        <f t="shared" si="47"/>
        <v>-1875</v>
      </c>
      <c r="BA58" s="80">
        <f t="shared" si="47"/>
        <v>-1875</v>
      </c>
      <c r="BB58" s="80">
        <f t="shared" si="47"/>
        <v>-1875</v>
      </c>
      <c r="BC58" s="80">
        <f t="shared" si="47"/>
        <v>-1875</v>
      </c>
      <c r="BD58" s="61"/>
      <c r="BE58" s="76">
        <f t="shared" si="49"/>
        <v>-1082.9151459854015</v>
      </c>
      <c r="BF58" s="76">
        <f t="shared" si="48"/>
        <v>-7797.6733576642346</v>
      </c>
      <c r="BG58" s="76">
        <f t="shared" si="48"/>
        <v>-15290.830291970802</v>
      </c>
      <c r="BH58" s="76">
        <f t="shared" si="48"/>
        <v>-21711.336678832115</v>
      </c>
    </row>
    <row r="59" spans="2:60" ht="21" customHeight="1" x14ac:dyDescent="0.35">
      <c r="B59" s="60" t="str">
        <f>$B$13</f>
        <v>Extended hours</v>
      </c>
      <c r="C59" s="48">
        <f>IF($C$13="","",$C$13)</f>
        <v>44013</v>
      </c>
      <c r="D59" s="48" t="str">
        <f t="shared" si="45"/>
        <v/>
      </c>
      <c r="E59" s="47">
        <f>IF(E$13="","",E$13)</f>
        <v>1</v>
      </c>
      <c r="F59" s="80"/>
      <c r="G59" s="76"/>
      <c r="H59" s="80">
        <f t="shared" si="46"/>
        <v>0</v>
      </c>
      <c r="I59" s="80">
        <f t="shared" si="46"/>
        <v>0</v>
      </c>
      <c r="J59" s="80">
        <f t="shared" si="46"/>
        <v>0</v>
      </c>
      <c r="K59" s="80">
        <f t="shared" si="46"/>
        <v>0</v>
      </c>
      <c r="L59" s="80">
        <f t="shared" si="46"/>
        <v>0</v>
      </c>
      <c r="M59" s="80">
        <f t="shared" si="46"/>
        <v>0</v>
      </c>
      <c r="N59" s="80">
        <f t="shared" si="46"/>
        <v>0</v>
      </c>
      <c r="O59" s="80">
        <f t="shared" si="46"/>
        <v>0</v>
      </c>
      <c r="P59" s="80">
        <f t="shared" si="46"/>
        <v>0</v>
      </c>
      <c r="Q59" s="80">
        <f t="shared" si="46"/>
        <v>0</v>
      </c>
      <c r="R59" s="80">
        <f t="shared" si="46"/>
        <v>0</v>
      </c>
      <c r="S59" s="80">
        <f t="shared" si="46"/>
        <v>0</v>
      </c>
      <c r="T59" s="80">
        <f t="shared" si="46"/>
        <v>0</v>
      </c>
      <c r="U59" s="80">
        <f t="shared" si="46"/>
        <v>0</v>
      </c>
      <c r="V59" s="80">
        <f t="shared" si="46"/>
        <v>0</v>
      </c>
      <c r="W59" s="80">
        <f t="shared" si="46"/>
        <v>0</v>
      </c>
      <c r="X59" s="80">
        <f t="shared" si="46"/>
        <v>0</v>
      </c>
      <c r="Y59" s="80">
        <f t="shared" si="46"/>
        <v>0</v>
      </c>
      <c r="Z59" s="80">
        <f t="shared" si="46"/>
        <v>0</v>
      </c>
      <c r="AA59" s="80">
        <f t="shared" si="46"/>
        <v>0</v>
      </c>
      <c r="AB59" s="80">
        <f t="shared" si="46"/>
        <v>0</v>
      </c>
      <c r="AC59" s="80">
        <f t="shared" si="46"/>
        <v>0</v>
      </c>
      <c r="AD59" s="80">
        <f t="shared" si="46"/>
        <v>0</v>
      </c>
      <c r="AE59" s="80">
        <f t="shared" si="46"/>
        <v>0</v>
      </c>
      <c r="AF59" s="80">
        <f t="shared" si="46"/>
        <v>0</v>
      </c>
      <c r="AG59" s="80">
        <f t="shared" si="46"/>
        <v>0</v>
      </c>
      <c r="AH59" s="80">
        <f t="shared" si="46"/>
        <v>0</v>
      </c>
      <c r="AI59" s="80">
        <f t="shared" si="46"/>
        <v>0</v>
      </c>
      <c r="AJ59" s="80">
        <f t="shared" si="46"/>
        <v>0</v>
      </c>
      <c r="AK59" s="80">
        <f t="shared" si="46"/>
        <v>0</v>
      </c>
      <c r="AL59" s="80">
        <f t="shared" si="46"/>
        <v>0</v>
      </c>
      <c r="AM59" s="80">
        <f t="shared" si="46"/>
        <v>0</v>
      </c>
      <c r="AN59" s="80">
        <f t="shared" si="46"/>
        <v>0</v>
      </c>
      <c r="AO59" s="80">
        <f t="shared" si="46"/>
        <v>0</v>
      </c>
      <c r="AP59" s="80">
        <f t="shared" si="46"/>
        <v>0</v>
      </c>
      <c r="AQ59" s="80">
        <f t="shared" si="46"/>
        <v>0</v>
      </c>
      <c r="AR59" s="80">
        <f t="shared" si="47"/>
        <v>0</v>
      </c>
      <c r="AS59" s="80">
        <f t="shared" si="47"/>
        <v>0</v>
      </c>
      <c r="AT59" s="80">
        <f t="shared" si="47"/>
        <v>0</v>
      </c>
      <c r="AU59" s="80">
        <f t="shared" si="47"/>
        <v>0</v>
      </c>
      <c r="AV59" s="80">
        <f t="shared" si="47"/>
        <v>0</v>
      </c>
      <c r="AW59" s="80">
        <f t="shared" si="47"/>
        <v>0</v>
      </c>
      <c r="AX59" s="80">
        <f t="shared" si="47"/>
        <v>0</v>
      </c>
      <c r="AY59" s="80">
        <f t="shared" si="47"/>
        <v>0</v>
      </c>
      <c r="AZ59" s="80">
        <f t="shared" si="47"/>
        <v>0</v>
      </c>
      <c r="BA59" s="80">
        <f t="shared" si="47"/>
        <v>0</v>
      </c>
      <c r="BB59" s="80">
        <f t="shared" si="47"/>
        <v>0</v>
      </c>
      <c r="BC59" s="80">
        <f t="shared" si="47"/>
        <v>0</v>
      </c>
      <c r="BD59" s="61"/>
      <c r="BE59" s="76">
        <f t="shared" si="49"/>
        <v>0</v>
      </c>
      <c r="BF59" s="76">
        <f t="shared" si="48"/>
        <v>0</v>
      </c>
      <c r="BG59" s="76">
        <f t="shared" si="48"/>
        <v>0</v>
      </c>
      <c r="BH59" s="76">
        <f t="shared" si="48"/>
        <v>0</v>
      </c>
    </row>
    <row r="60" spans="2:60" ht="21" customHeight="1" x14ac:dyDescent="0.35">
      <c r="B60" s="60" t="str">
        <f>$B$14</f>
        <v>Patient Centered Appointments</v>
      </c>
      <c r="C60" s="48" t="str">
        <f>IF($C$14="","",$C$14)</f>
        <v/>
      </c>
      <c r="D60" s="48" t="str">
        <f t="shared" si="45"/>
        <v/>
      </c>
      <c r="E60" s="47" t="str">
        <f>IF(E$14="","",E$14)</f>
        <v/>
      </c>
      <c r="F60" s="80"/>
      <c r="G60" s="76"/>
      <c r="H60" s="80">
        <f t="shared" si="46"/>
        <v>0</v>
      </c>
      <c r="I60" s="80">
        <f t="shared" si="46"/>
        <v>0</v>
      </c>
      <c r="J60" s="80">
        <f t="shared" si="46"/>
        <v>0</v>
      </c>
      <c r="K60" s="80">
        <f t="shared" si="46"/>
        <v>0</v>
      </c>
      <c r="L60" s="80">
        <f t="shared" si="46"/>
        <v>0</v>
      </c>
      <c r="M60" s="80">
        <f t="shared" si="46"/>
        <v>0</v>
      </c>
      <c r="N60" s="80">
        <f t="shared" si="46"/>
        <v>0</v>
      </c>
      <c r="O60" s="80">
        <f t="shared" si="46"/>
        <v>0</v>
      </c>
      <c r="P60" s="80">
        <f t="shared" si="46"/>
        <v>0</v>
      </c>
      <c r="Q60" s="80">
        <f t="shared" si="46"/>
        <v>0</v>
      </c>
      <c r="R60" s="80">
        <f t="shared" si="46"/>
        <v>0</v>
      </c>
      <c r="S60" s="80">
        <f t="shared" si="46"/>
        <v>0</v>
      </c>
      <c r="T60" s="80">
        <f t="shared" si="46"/>
        <v>0</v>
      </c>
      <c r="U60" s="80">
        <f t="shared" si="46"/>
        <v>0</v>
      </c>
      <c r="V60" s="80">
        <f t="shared" si="46"/>
        <v>0</v>
      </c>
      <c r="W60" s="80">
        <f t="shared" si="46"/>
        <v>0</v>
      </c>
      <c r="X60" s="80">
        <f t="shared" si="46"/>
        <v>0</v>
      </c>
      <c r="Y60" s="80">
        <f t="shared" si="46"/>
        <v>0</v>
      </c>
      <c r="Z60" s="80">
        <f t="shared" si="46"/>
        <v>0</v>
      </c>
      <c r="AA60" s="80">
        <f t="shared" si="46"/>
        <v>0</v>
      </c>
      <c r="AB60" s="80">
        <f t="shared" si="46"/>
        <v>0</v>
      </c>
      <c r="AC60" s="80">
        <f t="shared" si="46"/>
        <v>0</v>
      </c>
      <c r="AD60" s="80">
        <f t="shared" si="46"/>
        <v>0</v>
      </c>
      <c r="AE60" s="80">
        <f t="shared" si="46"/>
        <v>0</v>
      </c>
      <c r="AF60" s="80">
        <f t="shared" si="46"/>
        <v>0</v>
      </c>
      <c r="AG60" s="80">
        <f t="shared" si="46"/>
        <v>0</v>
      </c>
      <c r="AH60" s="80">
        <f t="shared" si="46"/>
        <v>0</v>
      </c>
      <c r="AI60" s="80">
        <f t="shared" si="46"/>
        <v>0</v>
      </c>
      <c r="AJ60" s="80">
        <f t="shared" si="46"/>
        <v>0</v>
      </c>
      <c r="AK60" s="80">
        <f t="shared" si="46"/>
        <v>0</v>
      </c>
      <c r="AL60" s="80">
        <f t="shared" si="46"/>
        <v>0</v>
      </c>
      <c r="AM60" s="80">
        <f t="shared" si="46"/>
        <v>0</v>
      </c>
      <c r="AN60" s="80">
        <f t="shared" si="46"/>
        <v>0</v>
      </c>
      <c r="AO60" s="80">
        <f t="shared" si="46"/>
        <v>0</v>
      </c>
      <c r="AP60" s="80">
        <f t="shared" si="46"/>
        <v>0</v>
      </c>
      <c r="AQ60" s="80">
        <f t="shared" si="46"/>
        <v>0</v>
      </c>
      <c r="AR60" s="80">
        <f t="shared" si="47"/>
        <v>0</v>
      </c>
      <c r="AS60" s="80">
        <f t="shared" si="47"/>
        <v>0</v>
      </c>
      <c r="AT60" s="80">
        <f t="shared" si="47"/>
        <v>0</v>
      </c>
      <c r="AU60" s="80">
        <f t="shared" si="47"/>
        <v>0</v>
      </c>
      <c r="AV60" s="80">
        <f t="shared" si="47"/>
        <v>0</v>
      </c>
      <c r="AW60" s="80">
        <f t="shared" si="47"/>
        <v>0</v>
      </c>
      <c r="AX60" s="80">
        <f t="shared" si="47"/>
        <v>0</v>
      </c>
      <c r="AY60" s="80">
        <f t="shared" si="47"/>
        <v>0</v>
      </c>
      <c r="AZ60" s="80">
        <f t="shared" si="47"/>
        <v>0</v>
      </c>
      <c r="BA60" s="80">
        <f t="shared" si="47"/>
        <v>0</v>
      </c>
      <c r="BB60" s="80">
        <f t="shared" si="47"/>
        <v>0</v>
      </c>
      <c r="BC60" s="80">
        <f t="shared" si="47"/>
        <v>0</v>
      </c>
      <c r="BD60" s="61"/>
      <c r="BE60" s="76">
        <f t="shared" si="49"/>
        <v>0</v>
      </c>
      <c r="BF60" s="76">
        <f t="shared" si="48"/>
        <v>0</v>
      </c>
      <c r="BG60" s="76">
        <f t="shared" si="48"/>
        <v>0</v>
      </c>
      <c r="BH60" s="76">
        <f t="shared" si="48"/>
        <v>0</v>
      </c>
    </row>
    <row r="61" spans="2:60" ht="21" customHeight="1" x14ac:dyDescent="0.35">
      <c r="B61" s="60" t="str">
        <f>$B$15</f>
        <v>Clinical and administrative pre work</v>
      </c>
      <c r="C61" s="48" t="str">
        <f>IF($C$15="","",$C$15)</f>
        <v/>
      </c>
      <c r="D61" s="48" t="str">
        <f t="shared" si="45"/>
        <v/>
      </c>
      <c r="E61" s="47" t="str">
        <f>IF(E$15="","",E$15)</f>
        <v/>
      </c>
      <c r="F61" s="80"/>
      <c r="G61" s="76"/>
      <c r="H61" s="80">
        <f t="shared" si="46"/>
        <v>0</v>
      </c>
      <c r="I61" s="80">
        <f t="shared" si="46"/>
        <v>0</v>
      </c>
      <c r="J61" s="80">
        <f t="shared" si="46"/>
        <v>0</v>
      </c>
      <c r="K61" s="80">
        <f t="shared" si="46"/>
        <v>0</v>
      </c>
      <c r="L61" s="80">
        <f t="shared" si="46"/>
        <v>0</v>
      </c>
      <c r="M61" s="80">
        <f t="shared" si="46"/>
        <v>0</v>
      </c>
      <c r="N61" s="80">
        <f t="shared" si="46"/>
        <v>0</v>
      </c>
      <c r="O61" s="80">
        <f t="shared" si="46"/>
        <v>0</v>
      </c>
      <c r="P61" s="80">
        <f t="shared" si="46"/>
        <v>0</v>
      </c>
      <c r="Q61" s="80">
        <f t="shared" si="46"/>
        <v>0</v>
      </c>
      <c r="R61" s="80">
        <f t="shared" si="46"/>
        <v>0</v>
      </c>
      <c r="S61" s="80">
        <f t="shared" si="46"/>
        <v>0</v>
      </c>
      <c r="T61" s="80">
        <f t="shared" si="46"/>
        <v>0</v>
      </c>
      <c r="U61" s="80">
        <f t="shared" si="46"/>
        <v>0</v>
      </c>
      <c r="V61" s="80">
        <f t="shared" si="46"/>
        <v>0</v>
      </c>
      <c r="W61" s="80">
        <f t="shared" si="46"/>
        <v>0</v>
      </c>
      <c r="X61" s="80">
        <f t="shared" si="46"/>
        <v>0</v>
      </c>
      <c r="Y61" s="80">
        <f t="shared" si="46"/>
        <v>0</v>
      </c>
      <c r="Z61" s="80">
        <f t="shared" si="46"/>
        <v>0</v>
      </c>
      <c r="AA61" s="80">
        <f t="shared" si="46"/>
        <v>0</v>
      </c>
      <c r="AB61" s="80">
        <f t="shared" si="46"/>
        <v>0</v>
      </c>
      <c r="AC61" s="80">
        <f t="shared" si="46"/>
        <v>0</v>
      </c>
      <c r="AD61" s="80">
        <f t="shared" si="46"/>
        <v>0</v>
      </c>
      <c r="AE61" s="80">
        <f t="shared" si="46"/>
        <v>0</v>
      </c>
      <c r="AF61" s="80">
        <f t="shared" si="46"/>
        <v>0</v>
      </c>
      <c r="AG61" s="80">
        <f t="shared" si="46"/>
        <v>0</v>
      </c>
      <c r="AH61" s="80">
        <f t="shared" si="46"/>
        <v>0</v>
      </c>
      <c r="AI61" s="80">
        <f t="shared" si="46"/>
        <v>0</v>
      </c>
      <c r="AJ61" s="80">
        <f t="shared" si="46"/>
        <v>0</v>
      </c>
      <c r="AK61" s="80">
        <f t="shared" si="46"/>
        <v>0</v>
      </c>
      <c r="AL61" s="80">
        <f t="shared" si="46"/>
        <v>0</v>
      </c>
      <c r="AM61" s="80">
        <f t="shared" si="46"/>
        <v>0</v>
      </c>
      <c r="AN61" s="80">
        <f t="shared" si="46"/>
        <v>0</v>
      </c>
      <c r="AO61" s="80">
        <f t="shared" si="46"/>
        <v>0</v>
      </c>
      <c r="AP61" s="80">
        <f t="shared" si="46"/>
        <v>0</v>
      </c>
      <c r="AQ61" s="80">
        <f t="shared" si="46"/>
        <v>0</v>
      </c>
      <c r="AR61" s="80">
        <f t="shared" si="47"/>
        <v>0</v>
      </c>
      <c r="AS61" s="80">
        <f t="shared" si="47"/>
        <v>0</v>
      </c>
      <c r="AT61" s="80">
        <f t="shared" si="47"/>
        <v>0</v>
      </c>
      <c r="AU61" s="80">
        <f t="shared" si="47"/>
        <v>0</v>
      </c>
      <c r="AV61" s="80">
        <f t="shared" si="47"/>
        <v>0</v>
      </c>
      <c r="AW61" s="80">
        <f t="shared" si="47"/>
        <v>0</v>
      </c>
      <c r="AX61" s="80">
        <f t="shared" si="47"/>
        <v>0</v>
      </c>
      <c r="AY61" s="80">
        <f t="shared" si="47"/>
        <v>0</v>
      </c>
      <c r="AZ61" s="80">
        <f t="shared" si="47"/>
        <v>0</v>
      </c>
      <c r="BA61" s="80">
        <f t="shared" si="47"/>
        <v>0</v>
      </c>
      <c r="BB61" s="80">
        <f t="shared" si="47"/>
        <v>0</v>
      </c>
      <c r="BC61" s="80">
        <f t="shared" si="47"/>
        <v>0</v>
      </c>
      <c r="BD61" s="61"/>
      <c r="BE61" s="76">
        <f t="shared" si="49"/>
        <v>0</v>
      </c>
      <c r="BF61" s="76">
        <f t="shared" si="48"/>
        <v>0</v>
      </c>
      <c r="BG61" s="76">
        <f t="shared" si="48"/>
        <v>0</v>
      </c>
      <c r="BH61" s="76">
        <f t="shared" si="48"/>
        <v>0</v>
      </c>
    </row>
    <row r="62" spans="2:60" ht="21" customHeight="1" x14ac:dyDescent="0.35">
      <c r="B62" s="60" t="str">
        <f>$B$16</f>
        <v>Multi-discliplinary Team Meetings</v>
      </c>
      <c r="C62" s="48">
        <f>IF($C$16="","",$C$16)</f>
        <v>43862</v>
      </c>
      <c r="D62" s="48" t="str">
        <f t="shared" si="45"/>
        <v/>
      </c>
      <c r="E62" s="47">
        <f>IF(E$16="","",E$16)</f>
        <v>6</v>
      </c>
      <c r="F62" s="80">
        <f>MDT!C29</f>
        <v>5111.9999999999991</v>
      </c>
      <c r="G62" s="76"/>
      <c r="H62" s="80">
        <f t="shared" si="46"/>
        <v>0</v>
      </c>
      <c r="I62" s="80">
        <f t="shared" si="46"/>
        <v>0</v>
      </c>
      <c r="J62" s="80">
        <f t="shared" si="46"/>
        <v>0</v>
      </c>
      <c r="K62" s="80">
        <f t="shared" ref="K62:Z62" si="50">IFERROR(MIN(1,MAX(0,(EOMONTH(K$4,0)+1-$C62)/(EDATE($C62,$E62)-$C62)))*$F62/12+IF(K$3=1,$G62/12,0),0)</f>
        <v>0</v>
      </c>
      <c r="L62" s="80">
        <f t="shared" si="50"/>
        <v>0</v>
      </c>
      <c r="M62" s="80">
        <f t="shared" si="50"/>
        <v>0</v>
      </c>
      <c r="N62" s="80">
        <f t="shared" si="50"/>
        <v>67.879120879120862</v>
      </c>
      <c r="O62" s="80">
        <f t="shared" si="50"/>
        <v>140.43956043956041</v>
      </c>
      <c r="P62" s="80">
        <f t="shared" si="50"/>
        <v>210.65934065934061</v>
      </c>
      <c r="Q62" s="80">
        <f t="shared" si="50"/>
        <v>283.21978021978015</v>
      </c>
      <c r="R62" s="80">
        <f t="shared" si="50"/>
        <v>353.43956043956041</v>
      </c>
      <c r="S62" s="80">
        <f t="shared" si="50"/>
        <v>425.99999999999994</v>
      </c>
      <c r="T62" s="80">
        <f t="shared" si="50"/>
        <v>425.99999999999994</v>
      </c>
      <c r="U62" s="80">
        <f t="shared" si="50"/>
        <v>425.99999999999994</v>
      </c>
      <c r="V62" s="80">
        <f t="shared" si="50"/>
        <v>425.99999999999994</v>
      </c>
      <c r="W62" s="80">
        <f t="shared" si="50"/>
        <v>425.99999999999994</v>
      </c>
      <c r="X62" s="80">
        <f t="shared" si="50"/>
        <v>425.99999999999994</v>
      </c>
      <c r="Y62" s="80">
        <f t="shared" si="50"/>
        <v>425.99999999999994</v>
      </c>
      <c r="Z62" s="80">
        <f t="shared" si="50"/>
        <v>425.99999999999994</v>
      </c>
      <c r="AA62" s="80">
        <f t="shared" ref="AA62:AP62" si="51">IFERROR(MIN(1,MAX(0,(EOMONTH(AA$4,0)+1-$C62)/(EDATE($C62,$E62)-$C62)))*$F62/12+IF(AA$3=1,$G62/12,0),0)</f>
        <v>425.99999999999994</v>
      </c>
      <c r="AB62" s="80">
        <f t="shared" si="51"/>
        <v>425.99999999999994</v>
      </c>
      <c r="AC62" s="80">
        <f t="shared" si="51"/>
        <v>425.99999999999994</v>
      </c>
      <c r="AD62" s="80">
        <f t="shared" si="51"/>
        <v>425.99999999999994</v>
      </c>
      <c r="AE62" s="80">
        <f t="shared" si="51"/>
        <v>425.99999999999994</v>
      </c>
      <c r="AF62" s="80">
        <f t="shared" si="51"/>
        <v>425.99999999999994</v>
      </c>
      <c r="AG62" s="80">
        <f t="shared" si="51"/>
        <v>425.99999999999994</v>
      </c>
      <c r="AH62" s="80">
        <f t="shared" si="51"/>
        <v>425.99999999999994</v>
      </c>
      <c r="AI62" s="80">
        <f t="shared" si="51"/>
        <v>425.99999999999994</v>
      </c>
      <c r="AJ62" s="80">
        <f t="shared" si="51"/>
        <v>425.99999999999994</v>
      </c>
      <c r="AK62" s="80">
        <f t="shared" si="51"/>
        <v>425.99999999999994</v>
      </c>
      <c r="AL62" s="80">
        <f t="shared" si="51"/>
        <v>425.99999999999994</v>
      </c>
      <c r="AM62" s="80">
        <f t="shared" si="51"/>
        <v>425.99999999999994</v>
      </c>
      <c r="AN62" s="80">
        <f t="shared" si="51"/>
        <v>425.99999999999994</v>
      </c>
      <c r="AO62" s="80">
        <f t="shared" si="51"/>
        <v>425.99999999999994</v>
      </c>
      <c r="AP62" s="80">
        <f t="shared" si="51"/>
        <v>425.99999999999994</v>
      </c>
      <c r="AQ62" s="80">
        <f t="shared" ref="H62:AR69" si="52">IFERROR(MIN(1,MAX(0,(EOMONTH(AQ$4,0)+1-$C62)/(EDATE($C62,$E62)-$C62)))*$F62/12+IF(AQ$3=1,$G62/12,0),0)</f>
        <v>425.99999999999994</v>
      </c>
      <c r="AR62" s="80">
        <f t="shared" si="52"/>
        <v>425.99999999999994</v>
      </c>
      <c r="AS62" s="80">
        <f t="shared" ref="AS62:BC69" si="53">IFERROR(MIN(1,MAX(0,(EOMONTH(AS$4,0)+1-$C62)/(EDATE($C62,$E62)-$C62)))*$F62/12+IF(AS$3=1,$G62/12,0),0)</f>
        <v>425.99999999999994</v>
      </c>
      <c r="AT62" s="80">
        <f t="shared" si="53"/>
        <v>425.99999999999994</v>
      </c>
      <c r="AU62" s="80">
        <f t="shared" si="53"/>
        <v>425.99999999999994</v>
      </c>
      <c r="AV62" s="80">
        <f t="shared" si="53"/>
        <v>425.99999999999994</v>
      </c>
      <c r="AW62" s="80">
        <f t="shared" si="53"/>
        <v>425.99999999999994</v>
      </c>
      <c r="AX62" s="80">
        <f t="shared" si="53"/>
        <v>425.99999999999994</v>
      </c>
      <c r="AY62" s="80">
        <f t="shared" si="53"/>
        <v>425.99999999999994</v>
      </c>
      <c r="AZ62" s="80">
        <f t="shared" si="53"/>
        <v>425.99999999999994</v>
      </c>
      <c r="BA62" s="80">
        <f t="shared" si="53"/>
        <v>425.99999999999994</v>
      </c>
      <c r="BB62" s="80">
        <f t="shared" si="53"/>
        <v>425.99999999999994</v>
      </c>
      <c r="BC62" s="80">
        <f t="shared" si="53"/>
        <v>425.99999999999994</v>
      </c>
      <c r="BD62" s="61"/>
      <c r="BE62" s="76">
        <f t="shared" si="49"/>
        <v>1481.6373626373625</v>
      </c>
      <c r="BF62" s="76">
        <f t="shared" si="48"/>
        <v>5111.9999999999991</v>
      </c>
      <c r="BG62" s="76">
        <f t="shared" si="48"/>
        <v>5111.9999999999991</v>
      </c>
      <c r="BH62" s="76">
        <f t="shared" si="48"/>
        <v>5111.9999999999991</v>
      </c>
    </row>
    <row r="63" spans="2:60" ht="21" customHeight="1" x14ac:dyDescent="0.35">
      <c r="B63" s="60" t="str">
        <f>$B$17</f>
        <v>Huddles</v>
      </c>
      <c r="C63" s="48">
        <f>IF($C$17="","",$C$17)</f>
        <v>43678</v>
      </c>
      <c r="D63" s="48" t="str">
        <f t="shared" si="45"/>
        <v/>
      </c>
      <c r="E63" s="47">
        <f>IF(E$17="","",E$17)</f>
        <v>1</v>
      </c>
      <c r="F63" s="80">
        <f>Huddles!C24</f>
        <v>22152</v>
      </c>
      <c r="G63" s="76"/>
      <c r="H63" s="80">
        <f t="shared" si="52"/>
        <v>1846</v>
      </c>
      <c r="I63" s="80">
        <f t="shared" si="52"/>
        <v>1846</v>
      </c>
      <c r="J63" s="80">
        <f t="shared" si="52"/>
        <v>1846</v>
      </c>
      <c r="K63" s="80">
        <f t="shared" si="52"/>
        <v>1846</v>
      </c>
      <c r="L63" s="80">
        <f t="shared" si="52"/>
        <v>1846</v>
      </c>
      <c r="M63" s="80">
        <f t="shared" si="52"/>
        <v>1846</v>
      </c>
      <c r="N63" s="80">
        <f t="shared" si="52"/>
        <v>1846</v>
      </c>
      <c r="O63" s="80">
        <f t="shared" si="52"/>
        <v>1846</v>
      </c>
      <c r="P63" s="80">
        <f t="shared" si="52"/>
        <v>1846</v>
      </c>
      <c r="Q63" s="80">
        <f t="shared" si="52"/>
        <v>1846</v>
      </c>
      <c r="R63" s="80">
        <f t="shared" si="52"/>
        <v>1846</v>
      </c>
      <c r="S63" s="80">
        <f t="shared" si="52"/>
        <v>1846</v>
      </c>
      <c r="T63" s="80">
        <f t="shared" si="52"/>
        <v>1846</v>
      </c>
      <c r="U63" s="80">
        <f t="shared" si="52"/>
        <v>1846</v>
      </c>
      <c r="V63" s="80">
        <f t="shared" si="52"/>
        <v>1846</v>
      </c>
      <c r="W63" s="80">
        <f t="shared" si="52"/>
        <v>1846</v>
      </c>
      <c r="X63" s="80">
        <f t="shared" si="52"/>
        <v>1846</v>
      </c>
      <c r="Y63" s="80">
        <f t="shared" si="52"/>
        <v>1846</v>
      </c>
      <c r="Z63" s="80">
        <f t="shared" si="52"/>
        <v>1846</v>
      </c>
      <c r="AA63" s="80">
        <f t="shared" si="52"/>
        <v>1846</v>
      </c>
      <c r="AB63" s="80">
        <f t="shared" si="52"/>
        <v>1846</v>
      </c>
      <c r="AC63" s="80">
        <f t="shared" si="52"/>
        <v>1846</v>
      </c>
      <c r="AD63" s="80">
        <f t="shared" si="52"/>
        <v>1846</v>
      </c>
      <c r="AE63" s="80">
        <f t="shared" si="52"/>
        <v>1846</v>
      </c>
      <c r="AF63" s="80">
        <f t="shared" si="52"/>
        <v>1846</v>
      </c>
      <c r="AG63" s="80">
        <f t="shared" si="52"/>
        <v>1846</v>
      </c>
      <c r="AH63" s="80">
        <f t="shared" si="52"/>
        <v>1846</v>
      </c>
      <c r="AI63" s="80">
        <f t="shared" si="52"/>
        <v>1846</v>
      </c>
      <c r="AJ63" s="80">
        <f t="shared" si="52"/>
        <v>1846</v>
      </c>
      <c r="AK63" s="80">
        <f t="shared" si="52"/>
        <v>1846</v>
      </c>
      <c r="AL63" s="80">
        <f t="shared" si="52"/>
        <v>1846</v>
      </c>
      <c r="AM63" s="80">
        <f t="shared" si="52"/>
        <v>1846</v>
      </c>
      <c r="AN63" s="80">
        <f t="shared" si="52"/>
        <v>1846</v>
      </c>
      <c r="AO63" s="80">
        <f t="shared" si="52"/>
        <v>1846</v>
      </c>
      <c r="AP63" s="80">
        <f t="shared" si="52"/>
        <v>1846</v>
      </c>
      <c r="AQ63" s="80">
        <f t="shared" si="52"/>
        <v>1846</v>
      </c>
      <c r="AR63" s="80">
        <f t="shared" ref="AR63:AR69" si="54">IFERROR(MIN(1,MAX(0,(EOMONTH(AR$4,0)+1-$C63)/(EDATE($C63,$E63)-$C63)))*$F63/12+IF(AR$3=1,$G63/12,0),0)</f>
        <v>1846</v>
      </c>
      <c r="AS63" s="80">
        <f t="shared" si="53"/>
        <v>1846</v>
      </c>
      <c r="AT63" s="80">
        <f t="shared" si="53"/>
        <v>1846</v>
      </c>
      <c r="AU63" s="80">
        <f t="shared" si="53"/>
        <v>1846</v>
      </c>
      <c r="AV63" s="80">
        <f t="shared" si="53"/>
        <v>1846</v>
      </c>
      <c r="AW63" s="80">
        <f t="shared" si="53"/>
        <v>1846</v>
      </c>
      <c r="AX63" s="80">
        <f t="shared" si="53"/>
        <v>1846</v>
      </c>
      <c r="AY63" s="80">
        <f t="shared" si="53"/>
        <v>1846</v>
      </c>
      <c r="AZ63" s="80">
        <f t="shared" si="53"/>
        <v>1846</v>
      </c>
      <c r="BA63" s="80">
        <f t="shared" si="53"/>
        <v>1846</v>
      </c>
      <c r="BB63" s="80">
        <f t="shared" si="53"/>
        <v>1846</v>
      </c>
      <c r="BC63" s="80">
        <f t="shared" si="53"/>
        <v>1846</v>
      </c>
      <c r="BD63" s="61"/>
      <c r="BE63" s="76">
        <f t="shared" si="49"/>
        <v>22152</v>
      </c>
      <c r="BF63" s="76">
        <f t="shared" si="48"/>
        <v>22152</v>
      </c>
      <c r="BG63" s="76">
        <f t="shared" si="48"/>
        <v>22152</v>
      </c>
      <c r="BH63" s="76">
        <f t="shared" si="48"/>
        <v>22152</v>
      </c>
    </row>
    <row r="64" spans="2:60" ht="21" customHeight="1" x14ac:dyDescent="0.35">
      <c r="B64" s="60" t="str">
        <f>$B$18</f>
        <v>Health Care Assistants</v>
      </c>
      <c r="C64" s="48">
        <f>IF($C$18="","",$C$18)</f>
        <v>43739</v>
      </c>
      <c r="D64" s="48" t="str">
        <f t="shared" si="45"/>
        <v/>
      </c>
      <c r="E64" s="47">
        <f>IF(E$18="","",E$18)</f>
        <v>6</v>
      </c>
      <c r="F64" s="80"/>
      <c r="G64" s="76"/>
      <c r="H64" s="80">
        <f t="shared" si="52"/>
        <v>0</v>
      </c>
      <c r="I64" s="80">
        <f t="shared" si="52"/>
        <v>0</v>
      </c>
      <c r="J64" s="80">
        <f t="shared" si="52"/>
        <v>0</v>
      </c>
      <c r="K64" s="80">
        <f t="shared" si="52"/>
        <v>0</v>
      </c>
      <c r="L64" s="80">
        <f t="shared" si="52"/>
        <v>0</v>
      </c>
      <c r="M64" s="80">
        <f t="shared" si="52"/>
        <v>0</v>
      </c>
      <c r="N64" s="80">
        <f t="shared" si="52"/>
        <v>0</v>
      </c>
      <c r="O64" s="80">
        <f t="shared" si="52"/>
        <v>0</v>
      </c>
      <c r="P64" s="80">
        <f t="shared" si="52"/>
        <v>0</v>
      </c>
      <c r="Q64" s="80">
        <f t="shared" si="52"/>
        <v>0</v>
      </c>
      <c r="R64" s="80">
        <f t="shared" si="52"/>
        <v>0</v>
      </c>
      <c r="S64" s="80">
        <f t="shared" si="52"/>
        <v>0</v>
      </c>
      <c r="T64" s="80">
        <f t="shared" si="52"/>
        <v>0</v>
      </c>
      <c r="U64" s="80">
        <f t="shared" si="52"/>
        <v>0</v>
      </c>
      <c r="V64" s="80">
        <f t="shared" si="52"/>
        <v>0</v>
      </c>
      <c r="W64" s="80">
        <f t="shared" si="52"/>
        <v>0</v>
      </c>
      <c r="X64" s="80">
        <f t="shared" si="52"/>
        <v>0</v>
      </c>
      <c r="Y64" s="80">
        <f t="shared" si="52"/>
        <v>0</v>
      </c>
      <c r="Z64" s="80">
        <f t="shared" si="52"/>
        <v>0</v>
      </c>
      <c r="AA64" s="80">
        <f t="shared" si="52"/>
        <v>0</v>
      </c>
      <c r="AB64" s="80">
        <f t="shared" si="52"/>
        <v>0</v>
      </c>
      <c r="AC64" s="80">
        <f t="shared" si="52"/>
        <v>0</v>
      </c>
      <c r="AD64" s="80">
        <f t="shared" si="52"/>
        <v>0</v>
      </c>
      <c r="AE64" s="80">
        <f t="shared" si="52"/>
        <v>0</v>
      </c>
      <c r="AF64" s="80">
        <f t="shared" si="52"/>
        <v>0</v>
      </c>
      <c r="AG64" s="80">
        <f t="shared" si="52"/>
        <v>0</v>
      </c>
      <c r="AH64" s="80">
        <f t="shared" si="52"/>
        <v>0</v>
      </c>
      <c r="AI64" s="80">
        <f t="shared" si="52"/>
        <v>0</v>
      </c>
      <c r="AJ64" s="80">
        <f t="shared" si="52"/>
        <v>0</v>
      </c>
      <c r="AK64" s="80">
        <f t="shared" si="52"/>
        <v>0</v>
      </c>
      <c r="AL64" s="80">
        <f t="shared" si="52"/>
        <v>0</v>
      </c>
      <c r="AM64" s="80">
        <f t="shared" si="52"/>
        <v>0</v>
      </c>
      <c r="AN64" s="80">
        <f t="shared" si="52"/>
        <v>0</v>
      </c>
      <c r="AO64" s="80">
        <f t="shared" si="52"/>
        <v>0</v>
      </c>
      <c r="AP64" s="80">
        <f t="shared" si="52"/>
        <v>0</v>
      </c>
      <c r="AQ64" s="80">
        <f t="shared" si="52"/>
        <v>0</v>
      </c>
      <c r="AR64" s="80">
        <f t="shared" si="54"/>
        <v>0</v>
      </c>
      <c r="AS64" s="80">
        <f t="shared" si="53"/>
        <v>0</v>
      </c>
      <c r="AT64" s="80">
        <f t="shared" si="53"/>
        <v>0</v>
      </c>
      <c r="AU64" s="80">
        <f t="shared" si="53"/>
        <v>0</v>
      </c>
      <c r="AV64" s="80">
        <f t="shared" si="53"/>
        <v>0</v>
      </c>
      <c r="AW64" s="80">
        <f t="shared" si="53"/>
        <v>0</v>
      </c>
      <c r="AX64" s="80">
        <f t="shared" si="53"/>
        <v>0</v>
      </c>
      <c r="AY64" s="80">
        <f t="shared" si="53"/>
        <v>0</v>
      </c>
      <c r="AZ64" s="80">
        <f t="shared" si="53"/>
        <v>0</v>
      </c>
      <c r="BA64" s="80">
        <f t="shared" si="53"/>
        <v>0</v>
      </c>
      <c r="BB64" s="80">
        <f t="shared" si="53"/>
        <v>0</v>
      </c>
      <c r="BC64" s="80">
        <f t="shared" si="53"/>
        <v>0</v>
      </c>
      <c r="BD64" s="61"/>
      <c r="BE64" s="76">
        <f t="shared" si="49"/>
        <v>0</v>
      </c>
      <c r="BF64" s="76">
        <f t="shared" si="48"/>
        <v>0</v>
      </c>
      <c r="BG64" s="76">
        <f t="shared" si="48"/>
        <v>0</v>
      </c>
      <c r="BH64" s="76">
        <f t="shared" si="48"/>
        <v>0</v>
      </c>
    </row>
    <row r="65" spans="2:60" ht="21" customHeight="1" x14ac:dyDescent="0.35">
      <c r="B65" s="60" t="str">
        <f>$B$19</f>
        <v>Patient portals</v>
      </c>
      <c r="C65" s="48">
        <f>IF($C$19="","",$C$19)</f>
        <v>43678</v>
      </c>
      <c r="D65" s="48" t="str">
        <f t="shared" si="45"/>
        <v/>
      </c>
      <c r="E65" s="47">
        <f>IF(E$19="","",E$19)</f>
        <v>36</v>
      </c>
      <c r="F65" s="80">
        <f>'Patient Portal'!H20</f>
        <v>25740.000000000007</v>
      </c>
      <c r="G65" s="76"/>
      <c r="H65" s="80">
        <f t="shared" si="52"/>
        <v>60.670620437956224</v>
      </c>
      <c r="I65" s="80">
        <f t="shared" si="52"/>
        <v>119.38412408759127</v>
      </c>
      <c r="J65" s="80">
        <f t="shared" si="52"/>
        <v>180.05474452554748</v>
      </c>
      <c r="K65" s="80">
        <f t="shared" si="52"/>
        <v>238.76824817518255</v>
      </c>
      <c r="L65" s="80">
        <f t="shared" si="52"/>
        <v>299.43886861313882</v>
      </c>
      <c r="M65" s="80">
        <f t="shared" si="52"/>
        <v>360.10948905109495</v>
      </c>
      <c r="N65" s="80">
        <f t="shared" si="52"/>
        <v>416.86587591240891</v>
      </c>
      <c r="O65" s="80">
        <f t="shared" si="52"/>
        <v>477.5364963503651</v>
      </c>
      <c r="P65" s="80">
        <f t="shared" si="52"/>
        <v>536.25000000000011</v>
      </c>
      <c r="Q65" s="80">
        <f t="shared" si="52"/>
        <v>596.92062043795636</v>
      </c>
      <c r="R65" s="80">
        <f t="shared" si="52"/>
        <v>655.63412408759143</v>
      </c>
      <c r="S65" s="80">
        <f t="shared" si="52"/>
        <v>716.30474452554756</v>
      </c>
      <c r="T65" s="80">
        <f t="shared" si="52"/>
        <v>776.97536496350392</v>
      </c>
      <c r="U65" s="80">
        <f t="shared" si="52"/>
        <v>835.68886861313888</v>
      </c>
      <c r="V65" s="80">
        <f t="shared" si="52"/>
        <v>896.35948905109524</v>
      </c>
      <c r="W65" s="80">
        <f t="shared" si="52"/>
        <v>955.0729927007302</v>
      </c>
      <c r="X65" s="80">
        <f t="shared" si="52"/>
        <v>1015.7436131386863</v>
      </c>
      <c r="Y65" s="80">
        <f t="shared" si="52"/>
        <v>1076.4142335766426</v>
      </c>
      <c r="Z65" s="80">
        <f t="shared" si="52"/>
        <v>1131.2135036496354</v>
      </c>
      <c r="AA65" s="80">
        <f t="shared" si="52"/>
        <v>1191.8841240875915</v>
      </c>
      <c r="AB65" s="80">
        <f t="shared" si="52"/>
        <v>1250.5976277372267</v>
      </c>
      <c r="AC65" s="80">
        <f t="shared" si="52"/>
        <v>1311.2682481751829</v>
      </c>
      <c r="AD65" s="80">
        <f t="shared" si="52"/>
        <v>1369.981751824818</v>
      </c>
      <c r="AE65" s="80">
        <f t="shared" si="52"/>
        <v>1430.6523722627742</v>
      </c>
      <c r="AF65" s="80">
        <f t="shared" si="52"/>
        <v>1491.3229927007303</v>
      </c>
      <c r="AG65" s="80">
        <f t="shared" si="52"/>
        <v>1550.0364963503653</v>
      </c>
      <c r="AH65" s="80">
        <f t="shared" si="52"/>
        <v>1610.7071167883216</v>
      </c>
      <c r="AI65" s="80">
        <f t="shared" si="52"/>
        <v>1669.4206204379568</v>
      </c>
      <c r="AJ65" s="80">
        <f t="shared" si="52"/>
        <v>1730.0912408759129</v>
      </c>
      <c r="AK65" s="80">
        <f t="shared" si="52"/>
        <v>1790.7618613138691</v>
      </c>
      <c r="AL65" s="80">
        <f t="shared" si="52"/>
        <v>1845.5611313868619</v>
      </c>
      <c r="AM65" s="80">
        <f t="shared" si="52"/>
        <v>1906.2317518248183</v>
      </c>
      <c r="AN65" s="80">
        <f t="shared" si="52"/>
        <v>1964.9452554744532</v>
      </c>
      <c r="AO65" s="80">
        <f t="shared" si="52"/>
        <v>2025.6158759124091</v>
      </c>
      <c r="AP65" s="80">
        <f t="shared" si="52"/>
        <v>2084.3293795620443</v>
      </c>
      <c r="AQ65" s="80">
        <f t="shared" si="52"/>
        <v>2145.0000000000005</v>
      </c>
      <c r="AR65" s="80">
        <f t="shared" si="54"/>
        <v>2145.0000000000005</v>
      </c>
      <c r="AS65" s="80">
        <f t="shared" si="53"/>
        <v>2145.0000000000005</v>
      </c>
      <c r="AT65" s="80">
        <f t="shared" si="53"/>
        <v>2145.0000000000005</v>
      </c>
      <c r="AU65" s="80">
        <f t="shared" si="53"/>
        <v>2145.0000000000005</v>
      </c>
      <c r="AV65" s="80">
        <f t="shared" si="53"/>
        <v>2145.0000000000005</v>
      </c>
      <c r="AW65" s="80">
        <f t="shared" si="53"/>
        <v>2145.0000000000005</v>
      </c>
      <c r="AX65" s="80">
        <f t="shared" si="53"/>
        <v>2145.0000000000005</v>
      </c>
      <c r="AY65" s="80">
        <f t="shared" si="53"/>
        <v>2145.0000000000005</v>
      </c>
      <c r="AZ65" s="80">
        <f t="shared" si="53"/>
        <v>2145.0000000000005</v>
      </c>
      <c r="BA65" s="80">
        <f t="shared" si="53"/>
        <v>2145.0000000000005</v>
      </c>
      <c r="BB65" s="80">
        <f t="shared" si="53"/>
        <v>2145.0000000000005</v>
      </c>
      <c r="BC65" s="80">
        <f t="shared" si="53"/>
        <v>2145.0000000000005</v>
      </c>
      <c r="BD65" s="61"/>
      <c r="BE65" s="76">
        <f t="shared" si="49"/>
        <v>4657.9379562043805</v>
      </c>
      <c r="BF65" s="76">
        <f t="shared" si="48"/>
        <v>13241.852189781028</v>
      </c>
      <c r="BG65" s="76">
        <f t="shared" si="48"/>
        <v>21814.023722627742</v>
      </c>
      <c r="BH65" s="76">
        <f t="shared" si="48"/>
        <v>25740.000000000004</v>
      </c>
    </row>
    <row r="66" spans="2:60" ht="21" customHeight="1" x14ac:dyDescent="0.35">
      <c r="B66" s="60" t="str">
        <f>$B$20</f>
        <v>Community Engagement</v>
      </c>
      <c r="C66" s="48" t="str">
        <f>IF($C$20="","",$C$20)</f>
        <v/>
      </c>
      <c r="D66" s="48" t="str">
        <f t="shared" si="45"/>
        <v/>
      </c>
      <c r="E66" s="47" t="str">
        <f>IF(E$20="","",E$20)</f>
        <v/>
      </c>
      <c r="F66" s="80"/>
      <c r="G66" s="76"/>
      <c r="H66" s="80">
        <f t="shared" si="52"/>
        <v>0</v>
      </c>
      <c r="I66" s="80">
        <f t="shared" si="52"/>
        <v>0</v>
      </c>
      <c r="J66" s="80">
        <f t="shared" si="52"/>
        <v>0</v>
      </c>
      <c r="K66" s="80">
        <f t="shared" si="52"/>
        <v>0</v>
      </c>
      <c r="L66" s="80">
        <f t="shared" si="52"/>
        <v>0</v>
      </c>
      <c r="M66" s="80">
        <f t="shared" si="52"/>
        <v>0</v>
      </c>
      <c r="N66" s="80">
        <f t="shared" si="52"/>
        <v>0</v>
      </c>
      <c r="O66" s="80">
        <f t="shared" si="52"/>
        <v>0</v>
      </c>
      <c r="P66" s="80">
        <f t="shared" si="52"/>
        <v>0</v>
      </c>
      <c r="Q66" s="80">
        <f t="shared" si="52"/>
        <v>0</v>
      </c>
      <c r="R66" s="80">
        <f t="shared" si="52"/>
        <v>0</v>
      </c>
      <c r="S66" s="80">
        <f t="shared" si="52"/>
        <v>0</v>
      </c>
      <c r="T66" s="80">
        <f t="shared" si="52"/>
        <v>0</v>
      </c>
      <c r="U66" s="80">
        <f t="shared" si="52"/>
        <v>0</v>
      </c>
      <c r="V66" s="80">
        <f t="shared" si="52"/>
        <v>0</v>
      </c>
      <c r="W66" s="80">
        <f t="shared" si="52"/>
        <v>0</v>
      </c>
      <c r="X66" s="80">
        <f t="shared" si="52"/>
        <v>0</v>
      </c>
      <c r="Y66" s="80">
        <f t="shared" si="52"/>
        <v>0</v>
      </c>
      <c r="Z66" s="80">
        <f t="shared" si="52"/>
        <v>0</v>
      </c>
      <c r="AA66" s="80">
        <f t="shared" si="52"/>
        <v>0</v>
      </c>
      <c r="AB66" s="80">
        <f t="shared" si="52"/>
        <v>0</v>
      </c>
      <c r="AC66" s="80">
        <f t="shared" si="52"/>
        <v>0</v>
      </c>
      <c r="AD66" s="80">
        <f t="shared" si="52"/>
        <v>0</v>
      </c>
      <c r="AE66" s="80">
        <f t="shared" si="52"/>
        <v>0</v>
      </c>
      <c r="AF66" s="80">
        <f t="shared" si="52"/>
        <v>0</v>
      </c>
      <c r="AG66" s="80">
        <f t="shared" si="52"/>
        <v>0</v>
      </c>
      <c r="AH66" s="80">
        <f t="shared" si="52"/>
        <v>0</v>
      </c>
      <c r="AI66" s="80">
        <f t="shared" si="52"/>
        <v>0</v>
      </c>
      <c r="AJ66" s="80">
        <f t="shared" si="52"/>
        <v>0</v>
      </c>
      <c r="AK66" s="80">
        <f t="shared" si="52"/>
        <v>0</v>
      </c>
      <c r="AL66" s="80">
        <f t="shared" si="52"/>
        <v>0</v>
      </c>
      <c r="AM66" s="80">
        <f t="shared" si="52"/>
        <v>0</v>
      </c>
      <c r="AN66" s="80">
        <f t="shared" si="52"/>
        <v>0</v>
      </c>
      <c r="AO66" s="80">
        <f t="shared" si="52"/>
        <v>0</v>
      </c>
      <c r="AP66" s="80">
        <f t="shared" si="52"/>
        <v>0</v>
      </c>
      <c r="AQ66" s="80">
        <f t="shared" si="52"/>
        <v>0</v>
      </c>
      <c r="AR66" s="80">
        <f t="shared" si="54"/>
        <v>0</v>
      </c>
      <c r="AS66" s="80">
        <f t="shared" si="53"/>
        <v>0</v>
      </c>
      <c r="AT66" s="80">
        <f t="shared" si="53"/>
        <v>0</v>
      </c>
      <c r="AU66" s="80">
        <f t="shared" si="53"/>
        <v>0</v>
      </c>
      <c r="AV66" s="80">
        <f t="shared" si="53"/>
        <v>0</v>
      </c>
      <c r="AW66" s="80">
        <f t="shared" si="53"/>
        <v>0</v>
      </c>
      <c r="AX66" s="80">
        <f t="shared" si="53"/>
        <v>0</v>
      </c>
      <c r="AY66" s="80">
        <f t="shared" si="53"/>
        <v>0</v>
      </c>
      <c r="AZ66" s="80">
        <f t="shared" si="53"/>
        <v>0</v>
      </c>
      <c r="BA66" s="80">
        <f t="shared" si="53"/>
        <v>0</v>
      </c>
      <c r="BB66" s="80">
        <f t="shared" si="53"/>
        <v>0</v>
      </c>
      <c r="BC66" s="80">
        <f t="shared" si="53"/>
        <v>0</v>
      </c>
      <c r="BD66" s="61"/>
      <c r="BE66" s="76">
        <f t="shared" si="49"/>
        <v>0</v>
      </c>
      <c r="BF66" s="76">
        <f t="shared" si="48"/>
        <v>0</v>
      </c>
      <c r="BG66" s="76">
        <f t="shared" si="48"/>
        <v>0</v>
      </c>
      <c r="BH66" s="76">
        <f t="shared" si="48"/>
        <v>0</v>
      </c>
    </row>
    <row r="67" spans="2:60" ht="21" customHeight="1" x14ac:dyDescent="0.35">
      <c r="B67" s="60" t="str">
        <f>$B$21</f>
        <v>Integration</v>
      </c>
      <c r="C67" s="48" t="str">
        <f>IF($C$21="","",$C$21)</f>
        <v/>
      </c>
      <c r="D67" s="48" t="str">
        <f t="shared" si="45"/>
        <v/>
      </c>
      <c r="E67" s="47" t="str">
        <f>IF(E$21="","",E$21)</f>
        <v/>
      </c>
      <c r="F67" s="80"/>
      <c r="G67" s="76"/>
      <c r="H67" s="80">
        <f t="shared" si="52"/>
        <v>0</v>
      </c>
      <c r="I67" s="80">
        <f t="shared" si="52"/>
        <v>0</v>
      </c>
      <c r="J67" s="80">
        <f t="shared" si="52"/>
        <v>0</v>
      </c>
      <c r="K67" s="80">
        <f t="shared" si="52"/>
        <v>0</v>
      </c>
      <c r="L67" s="80">
        <f t="shared" si="52"/>
        <v>0</v>
      </c>
      <c r="M67" s="80">
        <f t="shared" si="52"/>
        <v>0</v>
      </c>
      <c r="N67" s="80">
        <f t="shared" si="52"/>
        <v>0</v>
      </c>
      <c r="O67" s="80">
        <f t="shared" si="52"/>
        <v>0</v>
      </c>
      <c r="P67" s="80">
        <f t="shared" si="52"/>
        <v>0</v>
      </c>
      <c r="Q67" s="80">
        <f t="shared" si="52"/>
        <v>0</v>
      </c>
      <c r="R67" s="80">
        <f t="shared" si="52"/>
        <v>0</v>
      </c>
      <c r="S67" s="80">
        <f t="shared" si="52"/>
        <v>0</v>
      </c>
      <c r="T67" s="80">
        <f t="shared" si="52"/>
        <v>0</v>
      </c>
      <c r="U67" s="80">
        <f t="shared" si="52"/>
        <v>0</v>
      </c>
      <c r="V67" s="80">
        <f t="shared" si="52"/>
        <v>0</v>
      </c>
      <c r="W67" s="80">
        <f t="shared" si="52"/>
        <v>0</v>
      </c>
      <c r="X67" s="80">
        <f t="shared" si="52"/>
        <v>0</v>
      </c>
      <c r="Y67" s="80">
        <f t="shared" si="52"/>
        <v>0</v>
      </c>
      <c r="Z67" s="80">
        <f t="shared" si="52"/>
        <v>0</v>
      </c>
      <c r="AA67" s="80">
        <f t="shared" si="52"/>
        <v>0</v>
      </c>
      <c r="AB67" s="80">
        <f t="shared" si="52"/>
        <v>0</v>
      </c>
      <c r="AC67" s="80">
        <f t="shared" si="52"/>
        <v>0</v>
      </c>
      <c r="AD67" s="80">
        <f t="shared" si="52"/>
        <v>0</v>
      </c>
      <c r="AE67" s="80">
        <f t="shared" si="52"/>
        <v>0</v>
      </c>
      <c r="AF67" s="80">
        <f t="shared" si="52"/>
        <v>0</v>
      </c>
      <c r="AG67" s="80">
        <f t="shared" si="52"/>
        <v>0</v>
      </c>
      <c r="AH67" s="80">
        <f t="shared" si="52"/>
        <v>0</v>
      </c>
      <c r="AI67" s="80">
        <f t="shared" si="52"/>
        <v>0</v>
      </c>
      <c r="AJ67" s="80">
        <f t="shared" si="52"/>
        <v>0</v>
      </c>
      <c r="AK67" s="80">
        <f t="shared" si="52"/>
        <v>0</v>
      </c>
      <c r="AL67" s="80">
        <f t="shared" si="52"/>
        <v>0</v>
      </c>
      <c r="AM67" s="80">
        <f t="shared" si="52"/>
        <v>0</v>
      </c>
      <c r="AN67" s="80">
        <f t="shared" si="52"/>
        <v>0</v>
      </c>
      <c r="AO67" s="80">
        <f t="shared" si="52"/>
        <v>0</v>
      </c>
      <c r="AP67" s="80">
        <f t="shared" si="52"/>
        <v>0</v>
      </c>
      <c r="AQ67" s="80">
        <f t="shared" si="52"/>
        <v>0</v>
      </c>
      <c r="AR67" s="80">
        <f t="shared" si="54"/>
        <v>0</v>
      </c>
      <c r="AS67" s="80">
        <f t="shared" si="53"/>
        <v>0</v>
      </c>
      <c r="AT67" s="80">
        <f t="shared" si="53"/>
        <v>0</v>
      </c>
      <c r="AU67" s="80">
        <f t="shared" si="53"/>
        <v>0</v>
      </c>
      <c r="AV67" s="80">
        <f t="shared" si="53"/>
        <v>0</v>
      </c>
      <c r="AW67" s="80">
        <f t="shared" si="53"/>
        <v>0</v>
      </c>
      <c r="AX67" s="80">
        <f t="shared" si="53"/>
        <v>0</v>
      </c>
      <c r="AY67" s="80">
        <f t="shared" si="53"/>
        <v>0</v>
      </c>
      <c r="AZ67" s="80">
        <f t="shared" si="53"/>
        <v>0</v>
      </c>
      <c r="BA67" s="80">
        <f t="shared" si="53"/>
        <v>0</v>
      </c>
      <c r="BB67" s="80">
        <f t="shared" si="53"/>
        <v>0</v>
      </c>
      <c r="BC67" s="80">
        <f t="shared" si="53"/>
        <v>0</v>
      </c>
      <c r="BD67" s="61"/>
      <c r="BE67" s="76">
        <f t="shared" si="49"/>
        <v>0</v>
      </c>
      <c r="BF67" s="76">
        <f t="shared" si="48"/>
        <v>0</v>
      </c>
      <c r="BG67" s="76">
        <f t="shared" si="48"/>
        <v>0</v>
      </c>
      <c r="BH67" s="76">
        <f t="shared" si="48"/>
        <v>0</v>
      </c>
    </row>
    <row r="68" spans="2:60" ht="21" customHeight="1" x14ac:dyDescent="0.35">
      <c r="B68" s="60" t="str">
        <f>$B$22</f>
        <v>Quality &amp; Safety</v>
      </c>
      <c r="C68" s="48" t="str">
        <f>IF($C$22="","",$C$22)</f>
        <v/>
      </c>
      <c r="D68" s="48" t="str">
        <f t="shared" si="45"/>
        <v/>
      </c>
      <c r="E68" s="47" t="str">
        <f>IF(E$22="","",E$22)</f>
        <v/>
      </c>
      <c r="F68" s="80"/>
      <c r="G68" s="76"/>
      <c r="H68" s="80">
        <f t="shared" si="52"/>
        <v>0</v>
      </c>
      <c r="I68" s="80">
        <f t="shared" si="52"/>
        <v>0</v>
      </c>
      <c r="J68" s="80">
        <f t="shared" si="52"/>
        <v>0</v>
      </c>
      <c r="K68" s="80">
        <f t="shared" si="52"/>
        <v>0</v>
      </c>
      <c r="L68" s="80">
        <f t="shared" si="52"/>
        <v>0</v>
      </c>
      <c r="M68" s="80">
        <f t="shared" si="52"/>
        <v>0</v>
      </c>
      <c r="N68" s="80">
        <f t="shared" si="52"/>
        <v>0</v>
      </c>
      <c r="O68" s="80">
        <f t="shared" si="52"/>
        <v>0</v>
      </c>
      <c r="P68" s="80">
        <f t="shared" si="52"/>
        <v>0</v>
      </c>
      <c r="Q68" s="80">
        <f t="shared" si="52"/>
        <v>0</v>
      </c>
      <c r="R68" s="80">
        <f t="shared" si="52"/>
        <v>0</v>
      </c>
      <c r="S68" s="80">
        <f t="shared" si="52"/>
        <v>0</v>
      </c>
      <c r="T68" s="80">
        <f t="shared" si="52"/>
        <v>0</v>
      </c>
      <c r="U68" s="80">
        <f t="shared" si="52"/>
        <v>0</v>
      </c>
      <c r="V68" s="80">
        <f t="shared" si="52"/>
        <v>0</v>
      </c>
      <c r="W68" s="80">
        <f t="shared" si="52"/>
        <v>0</v>
      </c>
      <c r="X68" s="80">
        <f t="shared" si="52"/>
        <v>0</v>
      </c>
      <c r="Y68" s="80">
        <f t="shared" si="52"/>
        <v>0</v>
      </c>
      <c r="Z68" s="80">
        <f t="shared" si="52"/>
        <v>0</v>
      </c>
      <c r="AA68" s="80">
        <f t="shared" si="52"/>
        <v>0</v>
      </c>
      <c r="AB68" s="80">
        <f t="shared" si="52"/>
        <v>0</v>
      </c>
      <c r="AC68" s="80">
        <f t="shared" si="52"/>
        <v>0</v>
      </c>
      <c r="AD68" s="80">
        <f t="shared" si="52"/>
        <v>0</v>
      </c>
      <c r="AE68" s="80">
        <f t="shared" si="52"/>
        <v>0</v>
      </c>
      <c r="AF68" s="80">
        <f t="shared" si="52"/>
        <v>0</v>
      </c>
      <c r="AG68" s="80">
        <f t="shared" si="52"/>
        <v>0</v>
      </c>
      <c r="AH68" s="80">
        <f t="shared" si="52"/>
        <v>0</v>
      </c>
      <c r="AI68" s="80">
        <f t="shared" si="52"/>
        <v>0</v>
      </c>
      <c r="AJ68" s="80">
        <f t="shared" si="52"/>
        <v>0</v>
      </c>
      <c r="AK68" s="80">
        <f t="shared" si="52"/>
        <v>0</v>
      </c>
      <c r="AL68" s="80">
        <f t="shared" si="52"/>
        <v>0</v>
      </c>
      <c r="AM68" s="80">
        <f t="shared" si="52"/>
        <v>0</v>
      </c>
      <c r="AN68" s="80">
        <f t="shared" si="52"/>
        <v>0</v>
      </c>
      <c r="AO68" s="80">
        <f t="shared" si="52"/>
        <v>0</v>
      </c>
      <c r="AP68" s="80">
        <f t="shared" si="52"/>
        <v>0</v>
      </c>
      <c r="AQ68" s="80">
        <f t="shared" si="52"/>
        <v>0</v>
      </c>
      <c r="AR68" s="80">
        <f t="shared" si="54"/>
        <v>0</v>
      </c>
      <c r="AS68" s="80">
        <f t="shared" si="53"/>
        <v>0</v>
      </c>
      <c r="AT68" s="80">
        <f t="shared" si="53"/>
        <v>0</v>
      </c>
      <c r="AU68" s="80">
        <f t="shared" si="53"/>
        <v>0</v>
      </c>
      <c r="AV68" s="80">
        <f t="shared" si="53"/>
        <v>0</v>
      </c>
      <c r="AW68" s="80">
        <f t="shared" si="53"/>
        <v>0</v>
      </c>
      <c r="AX68" s="80">
        <f t="shared" si="53"/>
        <v>0</v>
      </c>
      <c r="AY68" s="80">
        <f t="shared" si="53"/>
        <v>0</v>
      </c>
      <c r="AZ68" s="80">
        <f t="shared" si="53"/>
        <v>0</v>
      </c>
      <c r="BA68" s="80">
        <f t="shared" si="53"/>
        <v>0</v>
      </c>
      <c r="BB68" s="80">
        <f t="shared" si="53"/>
        <v>0</v>
      </c>
      <c r="BC68" s="80">
        <f t="shared" si="53"/>
        <v>0</v>
      </c>
      <c r="BD68" s="61"/>
      <c r="BE68" s="76">
        <f t="shared" si="49"/>
        <v>0</v>
      </c>
      <c r="BF68" s="76">
        <f t="shared" si="48"/>
        <v>0</v>
      </c>
      <c r="BG68" s="76">
        <f t="shared" si="48"/>
        <v>0</v>
      </c>
      <c r="BH68" s="76">
        <f t="shared" si="48"/>
        <v>0</v>
      </c>
    </row>
    <row r="69" spans="2:60" ht="21" customHeight="1" x14ac:dyDescent="0.35">
      <c r="B69" s="60" t="str">
        <f>$B$23</f>
        <v>Other (staff release for training and implementation activity)</v>
      </c>
      <c r="C69" s="48">
        <f>IF($C$23="","",$C$23)</f>
        <v>43678</v>
      </c>
      <c r="D69" s="48">
        <f t="shared" si="45"/>
        <v>44773</v>
      </c>
      <c r="E69" s="47">
        <f>IF(E$23="","",E$23)</f>
        <v>1</v>
      </c>
      <c r="F69" s="80">
        <f>Other!C22*60</f>
        <v>852</v>
      </c>
      <c r="G69" s="76">
        <f>Other!C11*60</f>
        <v>0</v>
      </c>
      <c r="H69" s="80">
        <f t="shared" si="52"/>
        <v>71</v>
      </c>
      <c r="I69" s="80">
        <f t="shared" si="52"/>
        <v>71</v>
      </c>
      <c r="J69" s="80">
        <f t="shared" si="52"/>
        <v>71</v>
      </c>
      <c r="K69" s="80">
        <f t="shared" si="52"/>
        <v>71</v>
      </c>
      <c r="L69" s="80">
        <f t="shared" si="52"/>
        <v>71</v>
      </c>
      <c r="M69" s="80">
        <f t="shared" si="52"/>
        <v>71</v>
      </c>
      <c r="N69" s="80">
        <f t="shared" si="52"/>
        <v>71</v>
      </c>
      <c r="O69" s="80">
        <f t="shared" si="52"/>
        <v>71</v>
      </c>
      <c r="P69" s="80">
        <f t="shared" si="52"/>
        <v>71</v>
      </c>
      <c r="Q69" s="80">
        <f t="shared" si="52"/>
        <v>71</v>
      </c>
      <c r="R69" s="80">
        <f t="shared" si="52"/>
        <v>71</v>
      </c>
      <c r="S69" s="80">
        <f t="shared" si="52"/>
        <v>71</v>
      </c>
      <c r="T69" s="80">
        <f t="shared" si="52"/>
        <v>71</v>
      </c>
      <c r="U69" s="80">
        <f t="shared" si="52"/>
        <v>71</v>
      </c>
      <c r="V69" s="80">
        <f t="shared" si="52"/>
        <v>71</v>
      </c>
      <c r="W69" s="80">
        <f t="shared" si="52"/>
        <v>71</v>
      </c>
      <c r="X69" s="80">
        <f t="shared" si="52"/>
        <v>71</v>
      </c>
      <c r="Y69" s="80">
        <f t="shared" si="52"/>
        <v>71</v>
      </c>
      <c r="Z69" s="80">
        <f t="shared" si="52"/>
        <v>71</v>
      </c>
      <c r="AA69" s="80">
        <f t="shared" si="52"/>
        <v>71</v>
      </c>
      <c r="AB69" s="80">
        <f t="shared" si="52"/>
        <v>71</v>
      </c>
      <c r="AC69" s="80">
        <f t="shared" si="52"/>
        <v>71</v>
      </c>
      <c r="AD69" s="80">
        <f t="shared" si="52"/>
        <v>71</v>
      </c>
      <c r="AE69" s="80">
        <f t="shared" si="52"/>
        <v>71</v>
      </c>
      <c r="AF69" s="80">
        <f t="shared" si="52"/>
        <v>71</v>
      </c>
      <c r="AG69" s="80">
        <f t="shared" si="52"/>
        <v>71</v>
      </c>
      <c r="AH69" s="80">
        <f t="shared" si="52"/>
        <v>71</v>
      </c>
      <c r="AI69" s="80">
        <f t="shared" si="52"/>
        <v>71</v>
      </c>
      <c r="AJ69" s="80">
        <f t="shared" si="52"/>
        <v>71</v>
      </c>
      <c r="AK69" s="80">
        <f t="shared" si="52"/>
        <v>71</v>
      </c>
      <c r="AL69" s="80">
        <f t="shared" si="52"/>
        <v>71</v>
      </c>
      <c r="AM69" s="80">
        <f t="shared" si="52"/>
        <v>71</v>
      </c>
      <c r="AN69" s="80">
        <f t="shared" si="52"/>
        <v>71</v>
      </c>
      <c r="AO69" s="80">
        <f t="shared" si="52"/>
        <v>71</v>
      </c>
      <c r="AP69" s="80">
        <f t="shared" si="52"/>
        <v>71</v>
      </c>
      <c r="AQ69" s="80">
        <f t="shared" si="52"/>
        <v>71</v>
      </c>
      <c r="AR69" s="80">
        <f t="shared" si="54"/>
        <v>71</v>
      </c>
      <c r="AS69" s="80">
        <f t="shared" si="53"/>
        <v>71</v>
      </c>
      <c r="AT69" s="80">
        <f t="shared" si="53"/>
        <v>71</v>
      </c>
      <c r="AU69" s="80">
        <f t="shared" si="53"/>
        <v>71</v>
      </c>
      <c r="AV69" s="80">
        <f t="shared" si="53"/>
        <v>71</v>
      </c>
      <c r="AW69" s="80">
        <f t="shared" si="53"/>
        <v>71</v>
      </c>
      <c r="AX69" s="80">
        <f t="shared" si="53"/>
        <v>71</v>
      </c>
      <c r="AY69" s="80">
        <f t="shared" si="53"/>
        <v>71</v>
      </c>
      <c r="AZ69" s="80">
        <f t="shared" si="53"/>
        <v>71</v>
      </c>
      <c r="BA69" s="80">
        <f t="shared" si="53"/>
        <v>71</v>
      </c>
      <c r="BB69" s="80">
        <f t="shared" si="53"/>
        <v>71</v>
      </c>
      <c r="BC69" s="80">
        <f t="shared" si="53"/>
        <v>71</v>
      </c>
      <c r="BD69" s="61"/>
      <c r="BE69" s="76">
        <f t="shared" si="49"/>
        <v>852</v>
      </c>
      <c r="BF69" s="76">
        <f t="shared" si="48"/>
        <v>852</v>
      </c>
      <c r="BG69" s="76">
        <f t="shared" si="48"/>
        <v>852</v>
      </c>
      <c r="BH69" s="76">
        <f t="shared" si="48"/>
        <v>852</v>
      </c>
    </row>
    <row r="70" spans="2:60" ht="21" customHeight="1" x14ac:dyDescent="0.35">
      <c r="B70" s="49"/>
      <c r="C70" s="49"/>
      <c r="D70" s="49"/>
      <c r="E70" s="49"/>
    </row>
    <row r="71" spans="2:60" ht="20.399999999999999" customHeight="1" x14ac:dyDescent="0.35">
      <c r="B71" s="60" t="s">
        <v>105</v>
      </c>
      <c r="C71" s="48" t="str">
        <f>IF($C48="","",$C48)</f>
        <v/>
      </c>
      <c r="D71" s="48"/>
      <c r="E71" s="47" t="str">
        <f>IF(E48="","",E48)</f>
        <v/>
      </c>
      <c r="F71" s="19">
        <f>SUM(F53:F69)</f>
        <v>-45623.999999999993</v>
      </c>
      <c r="H71" s="19">
        <f>SUM(H53:H69)</f>
        <v>1977.6706204379561</v>
      </c>
      <c r="I71" s="19">
        <f t="shared" ref="I71:AQ71" si="55">SUM(I53:I69)</f>
        <v>2036.3841240875913</v>
      </c>
      <c r="J71" s="19">
        <f t="shared" si="55"/>
        <v>-64.521342430974045</v>
      </c>
      <c r="K71" s="19">
        <f t="shared" si="55"/>
        <v>-2097.6556648682954</v>
      </c>
      <c r="L71" s="19">
        <f t="shared" si="55"/>
        <v>-4198.5611313868612</v>
      </c>
      <c r="M71" s="19">
        <f t="shared" si="55"/>
        <v>-4137.8905109489051</v>
      </c>
      <c r="N71" s="19">
        <f t="shared" si="55"/>
        <v>-4062.8672294858425</v>
      </c>
      <c r="O71" s="19">
        <f t="shared" si="55"/>
        <v>-3982.6699286115345</v>
      </c>
      <c r="P71" s="19">
        <f t="shared" si="55"/>
        <v>-3905.0596374428496</v>
      </c>
      <c r="Q71" s="19">
        <f t="shared" si="55"/>
        <v>-3824.8623365685417</v>
      </c>
      <c r="R71" s="19">
        <f t="shared" si="55"/>
        <v>-3747.2520453998554</v>
      </c>
      <c r="S71" s="19">
        <f t="shared" si="55"/>
        <v>-3667.0547445255474</v>
      </c>
      <c r="T71" s="19">
        <f t="shared" si="55"/>
        <v>-3659.4178832116786</v>
      </c>
      <c r="U71" s="19">
        <f t="shared" si="55"/>
        <v>-3652.0273722627735</v>
      </c>
      <c r="V71" s="19">
        <f t="shared" si="55"/>
        <v>-3644.3905109489046</v>
      </c>
      <c r="W71" s="19">
        <f t="shared" si="55"/>
        <v>-3636.9999999999995</v>
      </c>
      <c r="X71" s="19">
        <f t="shared" si="55"/>
        <v>-3629.3631386861312</v>
      </c>
      <c r="Y71" s="19">
        <f t="shared" si="55"/>
        <v>-3621.7262773722623</v>
      </c>
      <c r="Z71" s="19">
        <f t="shared" si="55"/>
        <v>-3614.8284671532838</v>
      </c>
      <c r="AA71" s="19">
        <f t="shared" si="55"/>
        <v>-3607.1916058394154</v>
      </c>
      <c r="AB71" s="19">
        <f t="shared" si="55"/>
        <v>-3599.8010948905103</v>
      </c>
      <c r="AC71" s="19">
        <f t="shared" si="55"/>
        <v>-3592.1642335766419</v>
      </c>
      <c r="AD71" s="19">
        <f t="shared" si="55"/>
        <v>-3584.7737226277368</v>
      </c>
      <c r="AE71" s="19">
        <f t="shared" si="55"/>
        <v>-3577.1368613138684</v>
      </c>
      <c r="AF71" s="19">
        <f t="shared" si="55"/>
        <v>-3569.4999999999991</v>
      </c>
      <c r="AG71" s="19">
        <f t="shared" si="55"/>
        <v>-3562.1094890510949</v>
      </c>
      <c r="AH71" s="19">
        <f t="shared" si="55"/>
        <v>-3554.4726277372256</v>
      </c>
      <c r="AI71" s="19">
        <f t="shared" si="55"/>
        <v>-3547.0821167883205</v>
      </c>
      <c r="AJ71" s="19">
        <f t="shared" si="55"/>
        <v>-3539.4452554744521</v>
      </c>
      <c r="AK71" s="19">
        <f t="shared" si="55"/>
        <v>-3531.8083941605837</v>
      </c>
      <c r="AL71" s="19">
        <f t="shared" si="55"/>
        <v>-3524.9105839416052</v>
      </c>
      <c r="AM71" s="19">
        <f t="shared" si="55"/>
        <v>-3517.2737226277368</v>
      </c>
      <c r="AN71" s="19">
        <f t="shared" si="55"/>
        <v>-3509.8832116788317</v>
      </c>
      <c r="AO71" s="19">
        <f t="shared" si="55"/>
        <v>-3502.2463503649633</v>
      </c>
      <c r="AP71" s="19">
        <f t="shared" si="55"/>
        <v>-3494.8558394160577</v>
      </c>
      <c r="AQ71" s="19">
        <f t="shared" si="55"/>
        <v>-3487.2189781021893</v>
      </c>
      <c r="AR71" s="19">
        <f t="shared" ref="AR71:BB71" si="56">SUM(AR53:AR69)</f>
        <v>-3540.2527372262771</v>
      </c>
      <c r="AS71" s="19">
        <f t="shared" si="56"/>
        <v>-3591.5757299270067</v>
      </c>
      <c r="AT71" s="19">
        <f t="shared" si="56"/>
        <v>-3644.6094890510944</v>
      </c>
      <c r="AU71" s="19">
        <f t="shared" si="56"/>
        <v>-3695.9324817518241</v>
      </c>
      <c r="AV71" s="19">
        <f t="shared" si="56"/>
        <v>-3748.9662408759118</v>
      </c>
      <c r="AW71" s="19">
        <f t="shared" si="56"/>
        <v>-3801.9999999999995</v>
      </c>
      <c r="AX71" s="19">
        <f t="shared" si="56"/>
        <v>-3801.9999999999995</v>
      </c>
      <c r="AY71" s="19">
        <f t="shared" si="56"/>
        <v>-3801.9999999999995</v>
      </c>
      <c r="AZ71" s="19">
        <f t="shared" si="56"/>
        <v>-3801.9999999999995</v>
      </c>
      <c r="BA71" s="19">
        <f t="shared" si="56"/>
        <v>-3801.9999999999995</v>
      </c>
      <c r="BB71" s="19">
        <f t="shared" si="56"/>
        <v>-3801.9999999999995</v>
      </c>
      <c r="BC71" s="19">
        <f>SUM(BC53:BC69)</f>
        <v>-3801.9999999999995</v>
      </c>
      <c r="BD71" s="61"/>
      <c r="BE71" s="80">
        <f t="shared" ref="BE71:BH71" si="57">SUMIF($H$3:$BD$3,BE$3,$H71:$BD71)</f>
        <v>-29674.33982714366</v>
      </c>
      <c r="BF71" s="80">
        <f t="shared" si="57"/>
        <v>-43419.821167883216</v>
      </c>
      <c r="BG71" s="80">
        <f t="shared" si="57"/>
        <v>-42340.806569343054</v>
      </c>
      <c r="BH71" s="80">
        <f t="shared" si="57"/>
        <v>-44835.336678832115</v>
      </c>
    </row>
    <row r="72" spans="2:60" ht="21" customHeight="1" x14ac:dyDescent="0.35">
      <c r="B72" s="49"/>
      <c r="C72" s="49"/>
      <c r="D72" s="49"/>
      <c r="E72" s="49"/>
    </row>
    <row r="73" spans="2:60" ht="21" customHeight="1" x14ac:dyDescent="0.35">
      <c r="B73" s="58" t="s">
        <v>252</v>
      </c>
      <c r="C73" s="53" t="s">
        <v>58</v>
      </c>
      <c r="D73" s="53" t="s">
        <v>153</v>
      </c>
      <c r="E73" s="53" t="s">
        <v>59</v>
      </c>
      <c r="F73" s="53" t="s">
        <v>29</v>
      </c>
      <c r="G73" s="53" t="s">
        <v>307</v>
      </c>
      <c r="H73" s="59">
        <f>H$4</f>
        <v>43708</v>
      </c>
      <c r="I73" s="59">
        <f t="shared" ref="I73:BC73" si="58">I$4</f>
        <v>43738</v>
      </c>
      <c r="J73" s="59">
        <f t="shared" si="58"/>
        <v>43769</v>
      </c>
      <c r="K73" s="59">
        <f t="shared" si="58"/>
        <v>43799</v>
      </c>
      <c r="L73" s="59">
        <f t="shared" si="58"/>
        <v>43830</v>
      </c>
      <c r="M73" s="59">
        <f t="shared" si="58"/>
        <v>43861</v>
      </c>
      <c r="N73" s="59">
        <f t="shared" si="58"/>
        <v>43890</v>
      </c>
      <c r="O73" s="59">
        <f t="shared" si="58"/>
        <v>43921</v>
      </c>
      <c r="P73" s="59">
        <f t="shared" si="58"/>
        <v>43951</v>
      </c>
      <c r="Q73" s="59">
        <f t="shared" si="58"/>
        <v>43982</v>
      </c>
      <c r="R73" s="59">
        <f t="shared" si="58"/>
        <v>44012</v>
      </c>
      <c r="S73" s="59">
        <f t="shared" si="58"/>
        <v>44043</v>
      </c>
      <c r="T73" s="59">
        <f t="shared" si="58"/>
        <v>44074</v>
      </c>
      <c r="U73" s="59">
        <f t="shared" si="58"/>
        <v>44104</v>
      </c>
      <c r="V73" s="59">
        <f t="shared" si="58"/>
        <v>44135</v>
      </c>
      <c r="W73" s="59">
        <f t="shared" si="58"/>
        <v>44165</v>
      </c>
      <c r="X73" s="59">
        <f t="shared" si="58"/>
        <v>44196</v>
      </c>
      <c r="Y73" s="59">
        <f t="shared" si="58"/>
        <v>44227</v>
      </c>
      <c r="Z73" s="59">
        <f t="shared" si="58"/>
        <v>44255</v>
      </c>
      <c r="AA73" s="59">
        <f t="shared" si="58"/>
        <v>44286</v>
      </c>
      <c r="AB73" s="59">
        <f t="shared" si="58"/>
        <v>44316</v>
      </c>
      <c r="AC73" s="59">
        <f t="shared" si="58"/>
        <v>44347</v>
      </c>
      <c r="AD73" s="59">
        <f t="shared" si="58"/>
        <v>44377</v>
      </c>
      <c r="AE73" s="59">
        <f t="shared" si="58"/>
        <v>44408</v>
      </c>
      <c r="AF73" s="59">
        <f t="shared" si="58"/>
        <v>44439</v>
      </c>
      <c r="AG73" s="59">
        <f t="shared" si="58"/>
        <v>44469</v>
      </c>
      <c r="AH73" s="59">
        <f t="shared" si="58"/>
        <v>44500</v>
      </c>
      <c r="AI73" s="59">
        <f t="shared" si="58"/>
        <v>44530</v>
      </c>
      <c r="AJ73" s="59">
        <f t="shared" si="58"/>
        <v>44561</v>
      </c>
      <c r="AK73" s="59">
        <f t="shared" si="58"/>
        <v>44592</v>
      </c>
      <c r="AL73" s="59">
        <f t="shared" si="58"/>
        <v>44620</v>
      </c>
      <c r="AM73" s="59">
        <f t="shared" si="58"/>
        <v>44651</v>
      </c>
      <c r="AN73" s="59">
        <f t="shared" si="58"/>
        <v>44681</v>
      </c>
      <c r="AO73" s="59">
        <f t="shared" si="58"/>
        <v>44712</v>
      </c>
      <c r="AP73" s="59">
        <f t="shared" si="58"/>
        <v>44742</v>
      </c>
      <c r="AQ73" s="59">
        <f t="shared" si="58"/>
        <v>44773</v>
      </c>
      <c r="AR73" s="59">
        <f t="shared" si="58"/>
        <v>44804</v>
      </c>
      <c r="AS73" s="59">
        <f t="shared" si="58"/>
        <v>44834</v>
      </c>
      <c r="AT73" s="59">
        <f t="shared" si="58"/>
        <v>44865</v>
      </c>
      <c r="AU73" s="59">
        <f t="shared" si="58"/>
        <v>44895</v>
      </c>
      <c r="AV73" s="59">
        <f t="shared" si="58"/>
        <v>44926</v>
      </c>
      <c r="AW73" s="59">
        <f t="shared" si="58"/>
        <v>44957</v>
      </c>
      <c r="AX73" s="59">
        <f t="shared" si="58"/>
        <v>44985</v>
      </c>
      <c r="AY73" s="59">
        <f t="shared" si="58"/>
        <v>45016</v>
      </c>
      <c r="AZ73" s="59">
        <f t="shared" si="58"/>
        <v>45046</v>
      </c>
      <c r="BA73" s="59">
        <f t="shared" si="58"/>
        <v>45077</v>
      </c>
      <c r="BB73" s="59">
        <f t="shared" si="58"/>
        <v>45107</v>
      </c>
      <c r="BC73" s="59">
        <f t="shared" si="58"/>
        <v>45138</v>
      </c>
      <c r="BE73" s="72">
        <f>BE$3</f>
        <v>1</v>
      </c>
      <c r="BF73" s="72">
        <f>BF$3</f>
        <v>2</v>
      </c>
      <c r="BG73" s="72">
        <f>BG$3</f>
        <v>3</v>
      </c>
      <c r="BH73" s="72">
        <f>BH$3</f>
        <v>4</v>
      </c>
    </row>
    <row r="74" spans="2:60" ht="21" customHeight="1" x14ac:dyDescent="0.35">
      <c r="B74" s="60" t="str">
        <f>$B$7</f>
        <v>HCH Capitation Funding - Implementation</v>
      </c>
      <c r="C74" s="48">
        <f>IF($C$7="","",$C$7)</f>
        <v>43678</v>
      </c>
      <c r="D74" s="48" t="str">
        <f>IF(D51="","",D51)</f>
        <v/>
      </c>
      <c r="E74" s="47">
        <f>IF(E$7="","",E$7)</f>
        <v>1</v>
      </c>
      <c r="F74" s="80"/>
      <c r="G74" s="76"/>
      <c r="H74" s="80"/>
      <c r="I74" s="80"/>
      <c r="J74" s="80"/>
      <c r="K74" s="80"/>
      <c r="L74" s="80"/>
      <c r="M74" s="80"/>
      <c r="N74" s="80"/>
      <c r="O74" s="80"/>
      <c r="P74" s="80"/>
      <c r="Q74" s="80"/>
      <c r="R74" s="80"/>
      <c r="S74" s="80"/>
      <c r="T74" s="80"/>
      <c r="U74" s="80"/>
      <c r="V74" s="80"/>
      <c r="W74" s="80"/>
      <c r="X74" s="80"/>
      <c r="Y74" s="80"/>
      <c r="Z74" s="80"/>
      <c r="AA74" s="80"/>
      <c r="AB74" s="80"/>
      <c r="AC74" s="80"/>
      <c r="AD74" s="80"/>
      <c r="AE74" s="80"/>
      <c r="AF74" s="80"/>
      <c r="AG74" s="80"/>
      <c r="AH74" s="80"/>
      <c r="AI74" s="80"/>
      <c r="AJ74" s="80"/>
      <c r="AK74" s="80"/>
      <c r="AL74" s="80"/>
      <c r="AM74" s="80"/>
      <c r="AN74" s="80"/>
      <c r="AO74" s="80"/>
      <c r="AP74" s="80"/>
      <c r="AQ74" s="80"/>
      <c r="AR74" s="80"/>
      <c r="AS74" s="80"/>
      <c r="AT74" s="80"/>
      <c r="AU74" s="80"/>
      <c r="AV74" s="80"/>
      <c r="AW74" s="80"/>
      <c r="AX74" s="80"/>
      <c r="AY74" s="80"/>
      <c r="AZ74" s="80"/>
      <c r="BA74" s="80"/>
      <c r="BB74" s="80"/>
      <c r="BC74" s="80"/>
    </row>
    <row r="75" spans="2:60" ht="21" customHeight="1" x14ac:dyDescent="0.35">
      <c r="B75" s="60" t="str">
        <f>$B$8</f>
        <v>HCH Capitation Funding - At Risk</v>
      </c>
      <c r="C75" s="48">
        <f>IF($C$8="","",$C$8)</f>
        <v>43678</v>
      </c>
      <c r="D75" s="48" t="str">
        <f t="shared" ref="D75:D90" si="59">IF(D52="","",D52)</f>
        <v>End Date</v>
      </c>
      <c r="E75" s="47">
        <f>IF(E$8="","",E$8)</f>
        <v>1</v>
      </c>
      <c r="F75" s="80"/>
      <c r="G75" s="76"/>
      <c r="H75" s="80"/>
      <c r="I75" s="80"/>
      <c r="J75" s="80"/>
      <c r="K75" s="80"/>
      <c r="L75" s="80"/>
      <c r="M75" s="80"/>
      <c r="N75" s="80"/>
      <c r="O75" s="80"/>
      <c r="P75" s="80"/>
      <c r="Q75" s="80"/>
      <c r="R75" s="80"/>
      <c r="S75" s="80"/>
      <c r="T75" s="80"/>
      <c r="U75" s="80"/>
      <c r="V75" s="80"/>
      <c r="W75" s="80"/>
      <c r="X75" s="80"/>
      <c r="Y75" s="80"/>
      <c r="Z75" s="80"/>
      <c r="AA75" s="80"/>
      <c r="AB75" s="80"/>
      <c r="AC75" s="80"/>
      <c r="AD75" s="80"/>
      <c r="AE75" s="80"/>
      <c r="AF75" s="80"/>
      <c r="AG75" s="80"/>
      <c r="AH75" s="80"/>
      <c r="AI75" s="80"/>
      <c r="AJ75" s="80"/>
      <c r="AK75" s="80"/>
      <c r="AL75" s="80"/>
      <c r="AM75" s="80"/>
      <c r="AN75" s="80"/>
      <c r="AO75" s="80"/>
      <c r="AP75" s="80"/>
      <c r="AQ75" s="80"/>
      <c r="AR75" s="80"/>
      <c r="AS75" s="80"/>
      <c r="AT75" s="80"/>
      <c r="AU75" s="80"/>
      <c r="AV75" s="80"/>
      <c r="AW75" s="80"/>
      <c r="AX75" s="80"/>
      <c r="AY75" s="80"/>
      <c r="AZ75" s="80"/>
      <c r="BA75" s="80"/>
      <c r="BB75" s="80"/>
      <c r="BC75" s="80"/>
    </row>
    <row r="76" spans="2:60" ht="21" customHeight="1" x14ac:dyDescent="0.35">
      <c r="B76" s="60" t="str">
        <f>$B$9</f>
        <v>Equity</v>
      </c>
      <c r="C76" s="48" t="str">
        <f>IF($C$9="","",$C$9)</f>
        <v/>
      </c>
      <c r="D76" s="48">
        <f t="shared" si="59"/>
        <v>44773</v>
      </c>
      <c r="E76" s="47" t="str">
        <f>IF(E$9="","",E$9)</f>
        <v/>
      </c>
      <c r="F76" s="80"/>
      <c r="G76" s="76"/>
      <c r="H76" s="80">
        <f t="shared" ref="H76:AQ83" si="60">IFERROR(MIN(1,MAX(0,(EOMONTH(H$4,0)+1-$C76)/(EDATE($C76,$E76)-$C76)))*$F76/12+IF(H$3=1,$G76/12,0),0)</f>
        <v>0</v>
      </c>
      <c r="I76" s="80">
        <f t="shared" si="60"/>
        <v>0</v>
      </c>
      <c r="J76" s="80">
        <f t="shared" si="60"/>
        <v>0</v>
      </c>
      <c r="K76" s="80">
        <f t="shared" si="60"/>
        <v>0</v>
      </c>
      <c r="L76" s="80">
        <f t="shared" si="60"/>
        <v>0</v>
      </c>
      <c r="M76" s="80">
        <f t="shared" si="60"/>
        <v>0</v>
      </c>
      <c r="N76" s="80">
        <f t="shared" si="60"/>
        <v>0</v>
      </c>
      <c r="O76" s="80">
        <f t="shared" si="60"/>
        <v>0</v>
      </c>
      <c r="P76" s="80">
        <f t="shared" si="60"/>
        <v>0</v>
      </c>
      <c r="Q76" s="80">
        <f t="shared" si="60"/>
        <v>0</v>
      </c>
      <c r="R76" s="80">
        <f t="shared" si="60"/>
        <v>0</v>
      </c>
      <c r="S76" s="80">
        <f t="shared" si="60"/>
        <v>0</v>
      </c>
      <c r="T76" s="80">
        <f t="shared" si="60"/>
        <v>0</v>
      </c>
      <c r="U76" s="80">
        <f t="shared" si="60"/>
        <v>0</v>
      </c>
      <c r="V76" s="80">
        <f t="shared" si="60"/>
        <v>0</v>
      </c>
      <c r="W76" s="80">
        <f t="shared" si="60"/>
        <v>0</v>
      </c>
      <c r="X76" s="80">
        <f t="shared" si="60"/>
        <v>0</v>
      </c>
      <c r="Y76" s="80">
        <f t="shared" si="60"/>
        <v>0</v>
      </c>
      <c r="Z76" s="80">
        <f t="shared" si="60"/>
        <v>0</v>
      </c>
      <c r="AA76" s="80">
        <f t="shared" si="60"/>
        <v>0</v>
      </c>
      <c r="AB76" s="80">
        <f t="shared" si="60"/>
        <v>0</v>
      </c>
      <c r="AC76" s="80">
        <f t="shared" si="60"/>
        <v>0</v>
      </c>
      <c r="AD76" s="80">
        <f t="shared" si="60"/>
        <v>0</v>
      </c>
      <c r="AE76" s="80">
        <f t="shared" si="60"/>
        <v>0</v>
      </c>
      <c r="AF76" s="80">
        <f t="shared" si="60"/>
        <v>0</v>
      </c>
      <c r="AG76" s="80">
        <f t="shared" si="60"/>
        <v>0</v>
      </c>
      <c r="AH76" s="80">
        <f t="shared" si="60"/>
        <v>0</v>
      </c>
      <c r="AI76" s="80">
        <f t="shared" si="60"/>
        <v>0</v>
      </c>
      <c r="AJ76" s="80">
        <f t="shared" si="60"/>
        <v>0</v>
      </c>
      <c r="AK76" s="80">
        <f t="shared" si="60"/>
        <v>0</v>
      </c>
      <c r="AL76" s="80">
        <f t="shared" si="60"/>
        <v>0</v>
      </c>
      <c r="AM76" s="80">
        <f t="shared" si="60"/>
        <v>0</v>
      </c>
      <c r="AN76" s="80">
        <f t="shared" si="60"/>
        <v>0</v>
      </c>
      <c r="AO76" s="80">
        <f t="shared" si="60"/>
        <v>0</v>
      </c>
      <c r="AP76" s="80">
        <f t="shared" si="60"/>
        <v>0</v>
      </c>
      <c r="AQ76" s="80">
        <f t="shared" si="60"/>
        <v>0</v>
      </c>
      <c r="AR76" s="80">
        <f t="shared" ref="AR76:BC90" si="61">IFERROR(MIN(1,MAX(0,(EOMONTH(AR$4,0)+1-$C76)/(EDATE($C76,$E76)-$C76)))*$F76/12+IF(AR$3=1,$G76/12,0),0)</f>
        <v>0</v>
      </c>
      <c r="AS76" s="80">
        <f t="shared" si="61"/>
        <v>0</v>
      </c>
      <c r="AT76" s="80">
        <f t="shared" si="61"/>
        <v>0</v>
      </c>
      <c r="AU76" s="80">
        <f t="shared" si="61"/>
        <v>0</v>
      </c>
      <c r="AV76" s="80">
        <f t="shared" si="61"/>
        <v>0</v>
      </c>
      <c r="AW76" s="80">
        <f t="shared" si="61"/>
        <v>0</v>
      </c>
      <c r="AX76" s="80">
        <f t="shared" si="61"/>
        <v>0</v>
      </c>
      <c r="AY76" s="80">
        <f t="shared" si="61"/>
        <v>0</v>
      </c>
      <c r="AZ76" s="80">
        <f t="shared" si="61"/>
        <v>0</v>
      </c>
      <c r="BA76" s="80">
        <f t="shared" si="61"/>
        <v>0</v>
      </c>
      <c r="BB76" s="80">
        <f t="shared" si="61"/>
        <v>0</v>
      </c>
      <c r="BC76" s="80">
        <f t="shared" si="61"/>
        <v>0</v>
      </c>
      <c r="BE76" s="76">
        <f>SUMIF($H$3:$BD$3,BE$3,$H76:$BD76)</f>
        <v>0</v>
      </c>
      <c r="BF76" s="76">
        <f t="shared" ref="BF76:BH90" si="62">SUMIF($H$3:$BD$3,BF$3,$H76:$BD76)</f>
        <v>0</v>
      </c>
      <c r="BG76" s="76">
        <f t="shared" si="62"/>
        <v>0</v>
      </c>
      <c r="BH76" s="76">
        <f t="shared" si="62"/>
        <v>0</v>
      </c>
    </row>
    <row r="77" spans="2:60" ht="21" customHeight="1" x14ac:dyDescent="0.35">
      <c r="B77" s="60" t="str">
        <f>$B$10</f>
        <v>Call Management</v>
      </c>
      <c r="C77" s="48">
        <f>IF($C$10="","",$C$10)</f>
        <v>43678</v>
      </c>
      <c r="D77" s="48">
        <f t="shared" si="59"/>
        <v>44773</v>
      </c>
      <c r="E77" s="47">
        <f>IF(E$10="","",E$10)</f>
        <v>1</v>
      </c>
      <c r="F77" s="80"/>
      <c r="G77" s="76"/>
      <c r="H77" s="80">
        <f t="shared" si="60"/>
        <v>0</v>
      </c>
      <c r="I77" s="80">
        <f t="shared" si="60"/>
        <v>0</v>
      </c>
      <c r="J77" s="80">
        <f t="shared" si="60"/>
        <v>0</v>
      </c>
      <c r="K77" s="80">
        <f t="shared" si="60"/>
        <v>0</v>
      </c>
      <c r="L77" s="80">
        <f t="shared" si="60"/>
        <v>0</v>
      </c>
      <c r="M77" s="80">
        <f t="shared" si="60"/>
        <v>0</v>
      </c>
      <c r="N77" s="80">
        <f t="shared" si="60"/>
        <v>0</v>
      </c>
      <c r="O77" s="80">
        <f t="shared" si="60"/>
        <v>0</v>
      </c>
      <c r="P77" s="80">
        <f t="shared" si="60"/>
        <v>0</v>
      </c>
      <c r="Q77" s="80">
        <f t="shared" si="60"/>
        <v>0</v>
      </c>
      <c r="R77" s="80">
        <f t="shared" si="60"/>
        <v>0</v>
      </c>
      <c r="S77" s="80">
        <f t="shared" si="60"/>
        <v>0</v>
      </c>
      <c r="T77" s="80">
        <f t="shared" si="60"/>
        <v>0</v>
      </c>
      <c r="U77" s="80">
        <f t="shared" si="60"/>
        <v>0</v>
      </c>
      <c r="V77" s="80">
        <f t="shared" si="60"/>
        <v>0</v>
      </c>
      <c r="W77" s="80">
        <f t="shared" si="60"/>
        <v>0</v>
      </c>
      <c r="X77" s="80">
        <f t="shared" si="60"/>
        <v>0</v>
      </c>
      <c r="Y77" s="80">
        <f t="shared" si="60"/>
        <v>0</v>
      </c>
      <c r="Z77" s="80">
        <f t="shared" si="60"/>
        <v>0</v>
      </c>
      <c r="AA77" s="80">
        <f t="shared" si="60"/>
        <v>0</v>
      </c>
      <c r="AB77" s="80">
        <f t="shared" si="60"/>
        <v>0</v>
      </c>
      <c r="AC77" s="80">
        <f t="shared" si="60"/>
        <v>0</v>
      </c>
      <c r="AD77" s="80">
        <f t="shared" si="60"/>
        <v>0</v>
      </c>
      <c r="AE77" s="80">
        <f t="shared" si="60"/>
        <v>0</v>
      </c>
      <c r="AF77" s="80">
        <f t="shared" si="60"/>
        <v>0</v>
      </c>
      <c r="AG77" s="80">
        <f t="shared" si="60"/>
        <v>0</v>
      </c>
      <c r="AH77" s="80">
        <f t="shared" si="60"/>
        <v>0</v>
      </c>
      <c r="AI77" s="80">
        <f t="shared" si="60"/>
        <v>0</v>
      </c>
      <c r="AJ77" s="80">
        <f t="shared" si="60"/>
        <v>0</v>
      </c>
      <c r="AK77" s="80">
        <f t="shared" si="60"/>
        <v>0</v>
      </c>
      <c r="AL77" s="80">
        <f t="shared" si="60"/>
        <v>0</v>
      </c>
      <c r="AM77" s="80">
        <f t="shared" si="60"/>
        <v>0</v>
      </c>
      <c r="AN77" s="80">
        <f t="shared" si="60"/>
        <v>0</v>
      </c>
      <c r="AO77" s="80">
        <f t="shared" si="60"/>
        <v>0</v>
      </c>
      <c r="AP77" s="80">
        <f t="shared" si="60"/>
        <v>0</v>
      </c>
      <c r="AQ77" s="80">
        <f t="shared" si="60"/>
        <v>0</v>
      </c>
      <c r="AR77" s="80">
        <f t="shared" si="61"/>
        <v>0</v>
      </c>
      <c r="AS77" s="80">
        <f t="shared" si="61"/>
        <v>0</v>
      </c>
      <c r="AT77" s="80">
        <f t="shared" si="61"/>
        <v>0</v>
      </c>
      <c r="AU77" s="80">
        <f t="shared" si="61"/>
        <v>0</v>
      </c>
      <c r="AV77" s="80">
        <f t="shared" si="61"/>
        <v>0</v>
      </c>
      <c r="AW77" s="80">
        <f t="shared" si="61"/>
        <v>0</v>
      </c>
      <c r="AX77" s="80">
        <f t="shared" si="61"/>
        <v>0</v>
      </c>
      <c r="AY77" s="80">
        <f t="shared" si="61"/>
        <v>0</v>
      </c>
      <c r="AZ77" s="80">
        <f t="shared" si="61"/>
        <v>0</v>
      </c>
      <c r="BA77" s="80">
        <f t="shared" si="61"/>
        <v>0</v>
      </c>
      <c r="BB77" s="80">
        <f t="shared" si="61"/>
        <v>0</v>
      </c>
      <c r="BC77" s="80">
        <f t="shared" si="61"/>
        <v>0</v>
      </c>
      <c r="BE77" s="76">
        <f t="shared" ref="BE77:BE90" si="63">SUMIF($H$3:$BD$3,BE$3,$H77:$BD77)</f>
        <v>0</v>
      </c>
      <c r="BF77" s="76">
        <f t="shared" si="62"/>
        <v>0</v>
      </c>
      <c r="BG77" s="76">
        <f t="shared" si="62"/>
        <v>0</v>
      </c>
      <c r="BH77" s="76">
        <f t="shared" si="62"/>
        <v>0</v>
      </c>
    </row>
    <row r="78" spans="2:60" ht="21" customHeight="1" x14ac:dyDescent="0.35">
      <c r="B78" s="60" t="str">
        <f>$B$11</f>
        <v>GP triage</v>
      </c>
      <c r="C78" s="48">
        <f>IF($C$11="","",$C$11)</f>
        <v>43739</v>
      </c>
      <c r="D78" s="48" t="str">
        <f t="shared" si="59"/>
        <v/>
      </c>
      <c r="E78" s="47">
        <f>IF(E$11="","",E$11)</f>
        <v>3</v>
      </c>
      <c r="F78" s="80">
        <f>'GP Triage'!C70</f>
        <v>0</v>
      </c>
      <c r="G78" s="76"/>
      <c r="H78" s="80">
        <f t="shared" si="60"/>
        <v>0</v>
      </c>
      <c r="I78" s="80">
        <f t="shared" si="60"/>
        <v>0</v>
      </c>
      <c r="J78" s="80">
        <f t="shared" si="60"/>
        <v>0</v>
      </c>
      <c r="K78" s="80">
        <f t="shared" si="60"/>
        <v>0</v>
      </c>
      <c r="L78" s="80">
        <f t="shared" si="60"/>
        <v>0</v>
      </c>
      <c r="M78" s="80">
        <f t="shared" si="60"/>
        <v>0</v>
      </c>
      <c r="N78" s="80">
        <f t="shared" si="60"/>
        <v>0</v>
      </c>
      <c r="O78" s="80">
        <f t="shared" si="60"/>
        <v>0</v>
      </c>
      <c r="P78" s="80">
        <f t="shared" si="60"/>
        <v>0</v>
      </c>
      <c r="Q78" s="80">
        <f t="shared" si="60"/>
        <v>0</v>
      </c>
      <c r="R78" s="80">
        <f t="shared" si="60"/>
        <v>0</v>
      </c>
      <c r="S78" s="80">
        <f t="shared" si="60"/>
        <v>0</v>
      </c>
      <c r="T78" s="80">
        <f t="shared" si="60"/>
        <v>0</v>
      </c>
      <c r="U78" s="80">
        <f t="shared" si="60"/>
        <v>0</v>
      </c>
      <c r="V78" s="80">
        <f t="shared" si="60"/>
        <v>0</v>
      </c>
      <c r="W78" s="80">
        <f t="shared" si="60"/>
        <v>0</v>
      </c>
      <c r="X78" s="80">
        <f t="shared" si="60"/>
        <v>0</v>
      </c>
      <c r="Y78" s="80">
        <f t="shared" si="60"/>
        <v>0</v>
      </c>
      <c r="Z78" s="80">
        <f t="shared" si="60"/>
        <v>0</v>
      </c>
      <c r="AA78" s="80">
        <f t="shared" si="60"/>
        <v>0</v>
      </c>
      <c r="AB78" s="80">
        <f t="shared" si="60"/>
        <v>0</v>
      </c>
      <c r="AC78" s="80">
        <f t="shared" si="60"/>
        <v>0</v>
      </c>
      <c r="AD78" s="80">
        <f t="shared" si="60"/>
        <v>0</v>
      </c>
      <c r="AE78" s="80">
        <f t="shared" si="60"/>
        <v>0</v>
      </c>
      <c r="AF78" s="80">
        <f t="shared" si="60"/>
        <v>0</v>
      </c>
      <c r="AG78" s="80">
        <f t="shared" si="60"/>
        <v>0</v>
      </c>
      <c r="AH78" s="80">
        <f t="shared" si="60"/>
        <v>0</v>
      </c>
      <c r="AI78" s="80">
        <f t="shared" si="60"/>
        <v>0</v>
      </c>
      <c r="AJ78" s="80">
        <f t="shared" si="60"/>
        <v>0</v>
      </c>
      <c r="AK78" s="80">
        <f t="shared" si="60"/>
        <v>0</v>
      </c>
      <c r="AL78" s="80">
        <f t="shared" si="60"/>
        <v>0</v>
      </c>
      <c r="AM78" s="80">
        <f t="shared" si="60"/>
        <v>0</v>
      </c>
      <c r="AN78" s="80">
        <f t="shared" si="60"/>
        <v>0</v>
      </c>
      <c r="AO78" s="80">
        <f t="shared" si="60"/>
        <v>0</v>
      </c>
      <c r="AP78" s="80">
        <f t="shared" si="60"/>
        <v>0</v>
      </c>
      <c r="AQ78" s="80">
        <f t="shared" si="60"/>
        <v>0</v>
      </c>
      <c r="AR78" s="80">
        <f t="shared" si="61"/>
        <v>0</v>
      </c>
      <c r="AS78" s="80">
        <f t="shared" si="61"/>
        <v>0</v>
      </c>
      <c r="AT78" s="80">
        <f t="shared" si="61"/>
        <v>0</v>
      </c>
      <c r="AU78" s="80">
        <f t="shared" si="61"/>
        <v>0</v>
      </c>
      <c r="AV78" s="80">
        <f t="shared" si="61"/>
        <v>0</v>
      </c>
      <c r="AW78" s="80">
        <f t="shared" si="61"/>
        <v>0</v>
      </c>
      <c r="AX78" s="80">
        <f t="shared" si="61"/>
        <v>0</v>
      </c>
      <c r="AY78" s="80">
        <f t="shared" si="61"/>
        <v>0</v>
      </c>
      <c r="AZ78" s="80">
        <f t="shared" si="61"/>
        <v>0</v>
      </c>
      <c r="BA78" s="80">
        <f t="shared" si="61"/>
        <v>0</v>
      </c>
      <c r="BB78" s="80">
        <f t="shared" si="61"/>
        <v>0</v>
      </c>
      <c r="BC78" s="80">
        <f t="shared" si="61"/>
        <v>0</v>
      </c>
      <c r="BD78" s="61"/>
      <c r="BE78" s="76">
        <f t="shared" si="63"/>
        <v>0</v>
      </c>
      <c r="BF78" s="76">
        <f t="shared" si="62"/>
        <v>0</v>
      </c>
      <c r="BG78" s="76">
        <f t="shared" si="62"/>
        <v>0</v>
      </c>
      <c r="BH78" s="76">
        <f t="shared" si="62"/>
        <v>0</v>
      </c>
    </row>
    <row r="79" spans="2:60" ht="21" customHeight="1" x14ac:dyDescent="0.35">
      <c r="B79" s="60" t="str">
        <f>$B$12</f>
        <v>YOC</v>
      </c>
      <c r="C79" s="48">
        <f>IF($C$12="","",$C$12)</f>
        <v>43862</v>
      </c>
      <c r="D79" s="48" t="str">
        <f t="shared" si="59"/>
        <v/>
      </c>
      <c r="E79" s="47">
        <f>IF(E$12="","",E$12)</f>
        <v>36</v>
      </c>
      <c r="F79" s="80">
        <f>IF(YOC_Include="Yes",YOC!C74,0)</f>
        <v>0</v>
      </c>
      <c r="G79" s="76"/>
      <c r="H79" s="80">
        <f t="shared" si="60"/>
        <v>0</v>
      </c>
      <c r="I79" s="80">
        <f t="shared" si="60"/>
        <v>0</v>
      </c>
      <c r="J79" s="80">
        <f t="shared" si="60"/>
        <v>0</v>
      </c>
      <c r="K79" s="80">
        <f t="shared" si="60"/>
        <v>0</v>
      </c>
      <c r="L79" s="80">
        <f t="shared" si="60"/>
        <v>0</v>
      </c>
      <c r="M79" s="80">
        <f t="shared" si="60"/>
        <v>0</v>
      </c>
      <c r="N79" s="80">
        <f t="shared" si="60"/>
        <v>0</v>
      </c>
      <c r="O79" s="80">
        <f t="shared" si="60"/>
        <v>0</v>
      </c>
      <c r="P79" s="80">
        <f t="shared" si="60"/>
        <v>0</v>
      </c>
      <c r="Q79" s="80">
        <f t="shared" si="60"/>
        <v>0</v>
      </c>
      <c r="R79" s="80">
        <f t="shared" si="60"/>
        <v>0</v>
      </c>
      <c r="S79" s="80">
        <f t="shared" si="60"/>
        <v>0</v>
      </c>
      <c r="T79" s="80">
        <f t="shared" si="60"/>
        <v>0</v>
      </c>
      <c r="U79" s="80">
        <f t="shared" si="60"/>
        <v>0</v>
      </c>
      <c r="V79" s="80">
        <f t="shared" si="60"/>
        <v>0</v>
      </c>
      <c r="W79" s="80">
        <f t="shared" si="60"/>
        <v>0</v>
      </c>
      <c r="X79" s="80">
        <f t="shared" si="60"/>
        <v>0</v>
      </c>
      <c r="Y79" s="80">
        <f t="shared" si="60"/>
        <v>0</v>
      </c>
      <c r="Z79" s="80">
        <f t="shared" si="60"/>
        <v>0</v>
      </c>
      <c r="AA79" s="80">
        <f t="shared" si="60"/>
        <v>0</v>
      </c>
      <c r="AB79" s="80">
        <f t="shared" si="60"/>
        <v>0</v>
      </c>
      <c r="AC79" s="80">
        <f t="shared" si="60"/>
        <v>0</v>
      </c>
      <c r="AD79" s="80">
        <f t="shared" si="60"/>
        <v>0</v>
      </c>
      <c r="AE79" s="80">
        <f t="shared" si="60"/>
        <v>0</v>
      </c>
      <c r="AF79" s="80">
        <f t="shared" si="60"/>
        <v>0</v>
      </c>
      <c r="AG79" s="80">
        <f t="shared" si="60"/>
        <v>0</v>
      </c>
      <c r="AH79" s="80">
        <f t="shared" si="60"/>
        <v>0</v>
      </c>
      <c r="AI79" s="80">
        <f t="shared" si="60"/>
        <v>0</v>
      </c>
      <c r="AJ79" s="80">
        <f t="shared" si="60"/>
        <v>0</v>
      </c>
      <c r="AK79" s="80">
        <f t="shared" si="60"/>
        <v>0</v>
      </c>
      <c r="AL79" s="80">
        <f t="shared" si="60"/>
        <v>0</v>
      </c>
      <c r="AM79" s="80">
        <f t="shared" si="60"/>
        <v>0</v>
      </c>
      <c r="AN79" s="80">
        <f t="shared" si="60"/>
        <v>0</v>
      </c>
      <c r="AO79" s="80">
        <f t="shared" si="60"/>
        <v>0</v>
      </c>
      <c r="AP79" s="80">
        <f t="shared" si="60"/>
        <v>0</v>
      </c>
      <c r="AQ79" s="80">
        <f t="shared" si="60"/>
        <v>0</v>
      </c>
      <c r="AR79" s="80">
        <f t="shared" si="61"/>
        <v>0</v>
      </c>
      <c r="AS79" s="80">
        <f t="shared" si="61"/>
        <v>0</v>
      </c>
      <c r="AT79" s="80">
        <f t="shared" si="61"/>
        <v>0</v>
      </c>
      <c r="AU79" s="80">
        <f t="shared" si="61"/>
        <v>0</v>
      </c>
      <c r="AV79" s="80">
        <f t="shared" si="61"/>
        <v>0</v>
      </c>
      <c r="AW79" s="80">
        <f t="shared" si="61"/>
        <v>0</v>
      </c>
      <c r="AX79" s="80">
        <f t="shared" si="61"/>
        <v>0</v>
      </c>
      <c r="AY79" s="80">
        <f t="shared" si="61"/>
        <v>0</v>
      </c>
      <c r="AZ79" s="80">
        <f t="shared" si="61"/>
        <v>0</v>
      </c>
      <c r="BA79" s="80">
        <f t="shared" si="61"/>
        <v>0</v>
      </c>
      <c r="BB79" s="80">
        <f t="shared" si="61"/>
        <v>0</v>
      </c>
      <c r="BC79" s="80">
        <f t="shared" si="61"/>
        <v>0</v>
      </c>
      <c r="BD79" s="61"/>
      <c r="BE79" s="76">
        <f t="shared" si="63"/>
        <v>0</v>
      </c>
      <c r="BF79" s="76">
        <f t="shared" si="62"/>
        <v>0</v>
      </c>
      <c r="BG79" s="76">
        <f t="shared" si="62"/>
        <v>0</v>
      </c>
      <c r="BH79" s="76">
        <f t="shared" si="62"/>
        <v>0</v>
      </c>
    </row>
    <row r="80" spans="2:60" ht="21" customHeight="1" x14ac:dyDescent="0.35">
      <c r="B80" s="60" t="str">
        <f>$B$13</f>
        <v>Extended hours</v>
      </c>
      <c r="C80" s="48">
        <f>IF($C$13="","",$C$13)</f>
        <v>44013</v>
      </c>
      <c r="D80" s="48" t="str">
        <f t="shared" si="59"/>
        <v/>
      </c>
      <c r="E80" s="47">
        <f>IF(E$13="","",E$13)</f>
        <v>1</v>
      </c>
      <c r="F80" s="80"/>
      <c r="G80" s="76"/>
      <c r="H80" s="80">
        <f t="shared" si="60"/>
        <v>0</v>
      </c>
      <c r="I80" s="80">
        <f t="shared" si="60"/>
        <v>0</v>
      </c>
      <c r="J80" s="80">
        <f t="shared" si="60"/>
        <v>0</v>
      </c>
      <c r="K80" s="80">
        <f t="shared" si="60"/>
        <v>0</v>
      </c>
      <c r="L80" s="80">
        <f t="shared" si="60"/>
        <v>0</v>
      </c>
      <c r="M80" s="80">
        <f t="shared" si="60"/>
        <v>0</v>
      </c>
      <c r="N80" s="80">
        <f t="shared" si="60"/>
        <v>0</v>
      </c>
      <c r="O80" s="80">
        <f t="shared" si="60"/>
        <v>0</v>
      </c>
      <c r="P80" s="80">
        <f t="shared" si="60"/>
        <v>0</v>
      </c>
      <c r="Q80" s="80">
        <f t="shared" si="60"/>
        <v>0</v>
      </c>
      <c r="R80" s="80">
        <f t="shared" si="60"/>
        <v>0</v>
      </c>
      <c r="S80" s="80">
        <f t="shared" si="60"/>
        <v>0</v>
      </c>
      <c r="T80" s="80">
        <f t="shared" si="60"/>
        <v>0</v>
      </c>
      <c r="U80" s="80">
        <f t="shared" si="60"/>
        <v>0</v>
      </c>
      <c r="V80" s="80">
        <f t="shared" si="60"/>
        <v>0</v>
      </c>
      <c r="W80" s="80">
        <f t="shared" si="60"/>
        <v>0</v>
      </c>
      <c r="X80" s="80">
        <f t="shared" si="60"/>
        <v>0</v>
      </c>
      <c r="Y80" s="80">
        <f t="shared" si="60"/>
        <v>0</v>
      </c>
      <c r="Z80" s="80">
        <f t="shared" si="60"/>
        <v>0</v>
      </c>
      <c r="AA80" s="80">
        <f t="shared" si="60"/>
        <v>0</v>
      </c>
      <c r="AB80" s="80">
        <f t="shared" si="60"/>
        <v>0</v>
      </c>
      <c r="AC80" s="80">
        <f t="shared" si="60"/>
        <v>0</v>
      </c>
      <c r="AD80" s="80">
        <f t="shared" si="60"/>
        <v>0</v>
      </c>
      <c r="AE80" s="80">
        <f t="shared" si="60"/>
        <v>0</v>
      </c>
      <c r="AF80" s="80">
        <f t="shared" si="60"/>
        <v>0</v>
      </c>
      <c r="AG80" s="80">
        <f t="shared" si="60"/>
        <v>0</v>
      </c>
      <c r="AH80" s="80">
        <f t="shared" si="60"/>
        <v>0</v>
      </c>
      <c r="AI80" s="80">
        <f t="shared" si="60"/>
        <v>0</v>
      </c>
      <c r="AJ80" s="80">
        <f t="shared" si="60"/>
        <v>0</v>
      </c>
      <c r="AK80" s="80">
        <f t="shared" si="60"/>
        <v>0</v>
      </c>
      <c r="AL80" s="80">
        <f t="shared" si="60"/>
        <v>0</v>
      </c>
      <c r="AM80" s="80">
        <f t="shared" si="60"/>
        <v>0</v>
      </c>
      <c r="AN80" s="80">
        <f t="shared" si="60"/>
        <v>0</v>
      </c>
      <c r="AO80" s="80">
        <f t="shared" si="60"/>
        <v>0</v>
      </c>
      <c r="AP80" s="80">
        <f t="shared" si="60"/>
        <v>0</v>
      </c>
      <c r="AQ80" s="80">
        <f t="shared" si="60"/>
        <v>0</v>
      </c>
      <c r="AR80" s="80">
        <f t="shared" si="61"/>
        <v>0</v>
      </c>
      <c r="AS80" s="80">
        <f t="shared" si="61"/>
        <v>0</v>
      </c>
      <c r="AT80" s="80">
        <f t="shared" si="61"/>
        <v>0</v>
      </c>
      <c r="AU80" s="80">
        <f t="shared" si="61"/>
        <v>0</v>
      </c>
      <c r="AV80" s="80">
        <f t="shared" si="61"/>
        <v>0</v>
      </c>
      <c r="AW80" s="80">
        <f t="shared" si="61"/>
        <v>0</v>
      </c>
      <c r="AX80" s="80">
        <f t="shared" si="61"/>
        <v>0</v>
      </c>
      <c r="AY80" s="80">
        <f t="shared" si="61"/>
        <v>0</v>
      </c>
      <c r="AZ80" s="80">
        <f t="shared" si="61"/>
        <v>0</v>
      </c>
      <c r="BA80" s="80">
        <f t="shared" si="61"/>
        <v>0</v>
      </c>
      <c r="BB80" s="80">
        <f t="shared" si="61"/>
        <v>0</v>
      </c>
      <c r="BC80" s="80">
        <f t="shared" si="61"/>
        <v>0</v>
      </c>
      <c r="BD80" s="61"/>
      <c r="BE80" s="76">
        <f t="shared" si="63"/>
        <v>0</v>
      </c>
      <c r="BF80" s="76">
        <f t="shared" si="62"/>
        <v>0</v>
      </c>
      <c r="BG80" s="76">
        <f t="shared" si="62"/>
        <v>0</v>
      </c>
      <c r="BH80" s="76">
        <f t="shared" si="62"/>
        <v>0</v>
      </c>
    </row>
    <row r="81" spans="2:60" ht="21" customHeight="1" x14ac:dyDescent="0.35">
      <c r="B81" s="60" t="str">
        <f>$B$14</f>
        <v>Patient Centered Appointments</v>
      </c>
      <c r="C81" s="48" t="str">
        <f>IF($C$14="","",$C$14)</f>
        <v/>
      </c>
      <c r="D81" s="48" t="str">
        <f t="shared" si="59"/>
        <v/>
      </c>
      <c r="E81" s="47" t="str">
        <f>IF(E$14="","",E$14)</f>
        <v/>
      </c>
      <c r="F81" s="80"/>
      <c r="G81" s="76"/>
      <c r="H81" s="80">
        <f t="shared" si="60"/>
        <v>0</v>
      </c>
      <c r="I81" s="80">
        <f t="shared" si="60"/>
        <v>0</v>
      </c>
      <c r="J81" s="80">
        <f t="shared" si="60"/>
        <v>0</v>
      </c>
      <c r="K81" s="80">
        <f t="shared" si="60"/>
        <v>0</v>
      </c>
      <c r="L81" s="80">
        <f t="shared" si="60"/>
        <v>0</v>
      </c>
      <c r="M81" s="80">
        <f t="shared" si="60"/>
        <v>0</v>
      </c>
      <c r="N81" s="80">
        <f t="shared" si="60"/>
        <v>0</v>
      </c>
      <c r="O81" s="80">
        <f t="shared" si="60"/>
        <v>0</v>
      </c>
      <c r="P81" s="80">
        <f t="shared" si="60"/>
        <v>0</v>
      </c>
      <c r="Q81" s="80">
        <f t="shared" si="60"/>
        <v>0</v>
      </c>
      <c r="R81" s="80">
        <f t="shared" si="60"/>
        <v>0</v>
      </c>
      <c r="S81" s="80">
        <f t="shared" si="60"/>
        <v>0</v>
      </c>
      <c r="T81" s="80">
        <f t="shared" si="60"/>
        <v>0</v>
      </c>
      <c r="U81" s="80">
        <f t="shared" si="60"/>
        <v>0</v>
      </c>
      <c r="V81" s="80">
        <f t="shared" si="60"/>
        <v>0</v>
      </c>
      <c r="W81" s="80">
        <f t="shared" si="60"/>
        <v>0</v>
      </c>
      <c r="X81" s="80">
        <f t="shared" si="60"/>
        <v>0</v>
      </c>
      <c r="Y81" s="80">
        <f t="shared" si="60"/>
        <v>0</v>
      </c>
      <c r="Z81" s="80">
        <f t="shared" si="60"/>
        <v>0</v>
      </c>
      <c r="AA81" s="80">
        <f t="shared" si="60"/>
        <v>0</v>
      </c>
      <c r="AB81" s="80">
        <f t="shared" si="60"/>
        <v>0</v>
      </c>
      <c r="AC81" s="80">
        <f t="shared" si="60"/>
        <v>0</v>
      </c>
      <c r="AD81" s="80">
        <f t="shared" si="60"/>
        <v>0</v>
      </c>
      <c r="AE81" s="80">
        <f t="shared" si="60"/>
        <v>0</v>
      </c>
      <c r="AF81" s="80">
        <f t="shared" si="60"/>
        <v>0</v>
      </c>
      <c r="AG81" s="80">
        <f t="shared" si="60"/>
        <v>0</v>
      </c>
      <c r="AH81" s="80">
        <f t="shared" si="60"/>
        <v>0</v>
      </c>
      <c r="AI81" s="80">
        <f t="shared" si="60"/>
        <v>0</v>
      </c>
      <c r="AJ81" s="80">
        <f t="shared" si="60"/>
        <v>0</v>
      </c>
      <c r="AK81" s="80">
        <f t="shared" si="60"/>
        <v>0</v>
      </c>
      <c r="AL81" s="80">
        <f t="shared" si="60"/>
        <v>0</v>
      </c>
      <c r="AM81" s="80">
        <f t="shared" si="60"/>
        <v>0</v>
      </c>
      <c r="AN81" s="80">
        <f t="shared" si="60"/>
        <v>0</v>
      </c>
      <c r="AO81" s="80">
        <f t="shared" si="60"/>
        <v>0</v>
      </c>
      <c r="AP81" s="80">
        <f t="shared" si="60"/>
        <v>0</v>
      </c>
      <c r="AQ81" s="80">
        <f t="shared" si="60"/>
        <v>0</v>
      </c>
      <c r="AR81" s="80">
        <f t="shared" si="61"/>
        <v>0</v>
      </c>
      <c r="AS81" s="80">
        <f t="shared" si="61"/>
        <v>0</v>
      </c>
      <c r="AT81" s="80">
        <f t="shared" si="61"/>
        <v>0</v>
      </c>
      <c r="AU81" s="80">
        <f t="shared" si="61"/>
        <v>0</v>
      </c>
      <c r="AV81" s="80">
        <f t="shared" si="61"/>
        <v>0</v>
      </c>
      <c r="AW81" s="80">
        <f t="shared" si="61"/>
        <v>0</v>
      </c>
      <c r="AX81" s="80">
        <f t="shared" si="61"/>
        <v>0</v>
      </c>
      <c r="AY81" s="80">
        <f t="shared" si="61"/>
        <v>0</v>
      </c>
      <c r="AZ81" s="80">
        <f t="shared" si="61"/>
        <v>0</v>
      </c>
      <c r="BA81" s="80">
        <f t="shared" si="61"/>
        <v>0</v>
      </c>
      <c r="BB81" s="80">
        <f t="shared" si="61"/>
        <v>0</v>
      </c>
      <c r="BC81" s="80">
        <f t="shared" si="61"/>
        <v>0</v>
      </c>
      <c r="BD81" s="61"/>
      <c r="BE81" s="76">
        <f t="shared" si="63"/>
        <v>0</v>
      </c>
      <c r="BF81" s="76">
        <f t="shared" si="62"/>
        <v>0</v>
      </c>
      <c r="BG81" s="76">
        <f t="shared" si="62"/>
        <v>0</v>
      </c>
      <c r="BH81" s="76">
        <f t="shared" si="62"/>
        <v>0</v>
      </c>
    </row>
    <row r="82" spans="2:60" ht="21" customHeight="1" x14ac:dyDescent="0.35">
      <c r="B82" s="60" t="str">
        <f>$B$15</f>
        <v>Clinical and administrative pre work</v>
      </c>
      <c r="C82" s="48" t="str">
        <f>IF($C$15="","",$C$15)</f>
        <v/>
      </c>
      <c r="D82" s="48" t="str">
        <f t="shared" si="59"/>
        <v/>
      </c>
      <c r="E82" s="47" t="str">
        <f>IF(E$15="","",E$15)</f>
        <v/>
      </c>
      <c r="F82" s="80"/>
      <c r="G82" s="76"/>
      <c r="H82" s="80">
        <f t="shared" si="60"/>
        <v>0</v>
      </c>
      <c r="I82" s="80">
        <f t="shared" si="60"/>
        <v>0</v>
      </c>
      <c r="J82" s="80">
        <f t="shared" si="60"/>
        <v>0</v>
      </c>
      <c r="K82" s="80">
        <f t="shared" si="60"/>
        <v>0</v>
      </c>
      <c r="L82" s="80">
        <f t="shared" si="60"/>
        <v>0</v>
      </c>
      <c r="M82" s="80">
        <f t="shared" si="60"/>
        <v>0</v>
      </c>
      <c r="N82" s="80">
        <f t="shared" si="60"/>
        <v>0</v>
      </c>
      <c r="O82" s="80">
        <f t="shared" si="60"/>
        <v>0</v>
      </c>
      <c r="P82" s="80">
        <f t="shared" si="60"/>
        <v>0</v>
      </c>
      <c r="Q82" s="80">
        <f t="shared" si="60"/>
        <v>0</v>
      </c>
      <c r="R82" s="80">
        <f t="shared" si="60"/>
        <v>0</v>
      </c>
      <c r="S82" s="80">
        <f t="shared" si="60"/>
        <v>0</v>
      </c>
      <c r="T82" s="80">
        <f t="shared" si="60"/>
        <v>0</v>
      </c>
      <c r="U82" s="80">
        <f t="shared" si="60"/>
        <v>0</v>
      </c>
      <c r="V82" s="80">
        <f t="shared" si="60"/>
        <v>0</v>
      </c>
      <c r="W82" s="80">
        <f t="shared" si="60"/>
        <v>0</v>
      </c>
      <c r="X82" s="80">
        <f t="shared" si="60"/>
        <v>0</v>
      </c>
      <c r="Y82" s="80">
        <f t="shared" si="60"/>
        <v>0</v>
      </c>
      <c r="Z82" s="80">
        <f t="shared" si="60"/>
        <v>0</v>
      </c>
      <c r="AA82" s="80">
        <f t="shared" si="60"/>
        <v>0</v>
      </c>
      <c r="AB82" s="80">
        <f t="shared" si="60"/>
        <v>0</v>
      </c>
      <c r="AC82" s="80">
        <f t="shared" si="60"/>
        <v>0</v>
      </c>
      <c r="AD82" s="80">
        <f t="shared" si="60"/>
        <v>0</v>
      </c>
      <c r="AE82" s="80">
        <f t="shared" si="60"/>
        <v>0</v>
      </c>
      <c r="AF82" s="80">
        <f t="shared" si="60"/>
        <v>0</v>
      </c>
      <c r="AG82" s="80">
        <f t="shared" si="60"/>
        <v>0</v>
      </c>
      <c r="AH82" s="80">
        <f t="shared" si="60"/>
        <v>0</v>
      </c>
      <c r="AI82" s="80">
        <f t="shared" si="60"/>
        <v>0</v>
      </c>
      <c r="AJ82" s="80">
        <f t="shared" si="60"/>
        <v>0</v>
      </c>
      <c r="AK82" s="80">
        <f t="shared" si="60"/>
        <v>0</v>
      </c>
      <c r="AL82" s="80">
        <f t="shared" si="60"/>
        <v>0</v>
      </c>
      <c r="AM82" s="80">
        <f t="shared" si="60"/>
        <v>0</v>
      </c>
      <c r="AN82" s="80">
        <f t="shared" si="60"/>
        <v>0</v>
      </c>
      <c r="AO82" s="80">
        <f t="shared" si="60"/>
        <v>0</v>
      </c>
      <c r="AP82" s="80">
        <f t="shared" si="60"/>
        <v>0</v>
      </c>
      <c r="AQ82" s="80">
        <f t="shared" si="60"/>
        <v>0</v>
      </c>
      <c r="AR82" s="80">
        <f t="shared" si="61"/>
        <v>0</v>
      </c>
      <c r="AS82" s="80">
        <f t="shared" si="61"/>
        <v>0</v>
      </c>
      <c r="AT82" s="80">
        <f t="shared" si="61"/>
        <v>0</v>
      </c>
      <c r="AU82" s="80">
        <f t="shared" si="61"/>
        <v>0</v>
      </c>
      <c r="AV82" s="80">
        <f t="shared" si="61"/>
        <v>0</v>
      </c>
      <c r="AW82" s="80">
        <f t="shared" si="61"/>
        <v>0</v>
      </c>
      <c r="AX82" s="80">
        <f t="shared" si="61"/>
        <v>0</v>
      </c>
      <c r="AY82" s="80">
        <f t="shared" si="61"/>
        <v>0</v>
      </c>
      <c r="AZ82" s="80">
        <f t="shared" si="61"/>
        <v>0</v>
      </c>
      <c r="BA82" s="80">
        <f t="shared" si="61"/>
        <v>0</v>
      </c>
      <c r="BB82" s="80">
        <f t="shared" si="61"/>
        <v>0</v>
      </c>
      <c r="BC82" s="80">
        <f t="shared" si="61"/>
        <v>0</v>
      </c>
      <c r="BD82" s="61"/>
      <c r="BE82" s="76">
        <f t="shared" si="63"/>
        <v>0</v>
      </c>
      <c r="BF82" s="76">
        <f t="shared" si="62"/>
        <v>0</v>
      </c>
      <c r="BG82" s="76">
        <f t="shared" si="62"/>
        <v>0</v>
      </c>
      <c r="BH82" s="76">
        <f t="shared" si="62"/>
        <v>0</v>
      </c>
    </row>
    <row r="83" spans="2:60" ht="21" customHeight="1" x14ac:dyDescent="0.35">
      <c r="B83" s="60" t="str">
        <f>$B$16</f>
        <v>Multi-discliplinary Team Meetings</v>
      </c>
      <c r="C83" s="48">
        <f>IF($C$16="","",$C$16)</f>
        <v>43862</v>
      </c>
      <c r="D83" s="48" t="str">
        <f t="shared" si="59"/>
        <v/>
      </c>
      <c r="E83" s="47">
        <f>IF(E$16="","",E$16)</f>
        <v>6</v>
      </c>
      <c r="F83" s="80">
        <f>MDT!C50</f>
        <v>0</v>
      </c>
      <c r="G83" s="76"/>
      <c r="H83" s="80">
        <f t="shared" si="60"/>
        <v>0</v>
      </c>
      <c r="I83" s="80">
        <f t="shared" si="60"/>
        <v>0</v>
      </c>
      <c r="J83" s="80">
        <f t="shared" si="60"/>
        <v>0</v>
      </c>
      <c r="K83" s="80">
        <f t="shared" ref="H83:AR89" si="64">IFERROR(MIN(1,MAX(0,(EOMONTH(K$4,0)+1-$C83)/(EDATE($C83,$E83)-$C83)))*$F83/12+IF(K$3=1,$G83/12,0),0)</f>
        <v>0</v>
      </c>
      <c r="L83" s="80">
        <f t="shared" si="64"/>
        <v>0</v>
      </c>
      <c r="M83" s="80">
        <f t="shared" si="64"/>
        <v>0</v>
      </c>
      <c r="N83" s="80">
        <f t="shared" si="64"/>
        <v>0</v>
      </c>
      <c r="O83" s="80">
        <f t="shared" si="64"/>
        <v>0</v>
      </c>
      <c r="P83" s="80">
        <f t="shared" si="64"/>
        <v>0</v>
      </c>
      <c r="Q83" s="80">
        <f t="shared" si="64"/>
        <v>0</v>
      </c>
      <c r="R83" s="80">
        <f t="shared" si="64"/>
        <v>0</v>
      </c>
      <c r="S83" s="80">
        <f t="shared" si="64"/>
        <v>0</v>
      </c>
      <c r="T83" s="80">
        <f t="shared" si="64"/>
        <v>0</v>
      </c>
      <c r="U83" s="80">
        <f t="shared" si="64"/>
        <v>0</v>
      </c>
      <c r="V83" s="80">
        <f t="shared" si="64"/>
        <v>0</v>
      </c>
      <c r="W83" s="80">
        <f t="shared" si="64"/>
        <v>0</v>
      </c>
      <c r="X83" s="80">
        <f t="shared" si="64"/>
        <v>0</v>
      </c>
      <c r="Y83" s="80">
        <f t="shared" si="64"/>
        <v>0</v>
      </c>
      <c r="Z83" s="80">
        <f t="shared" si="64"/>
        <v>0</v>
      </c>
      <c r="AA83" s="80">
        <f t="shared" si="64"/>
        <v>0</v>
      </c>
      <c r="AB83" s="80">
        <f t="shared" si="64"/>
        <v>0</v>
      </c>
      <c r="AC83" s="80">
        <f t="shared" si="64"/>
        <v>0</v>
      </c>
      <c r="AD83" s="80">
        <f t="shared" si="64"/>
        <v>0</v>
      </c>
      <c r="AE83" s="80">
        <f t="shared" si="64"/>
        <v>0</v>
      </c>
      <c r="AF83" s="80">
        <f t="shared" si="64"/>
        <v>0</v>
      </c>
      <c r="AG83" s="80">
        <f t="shared" si="64"/>
        <v>0</v>
      </c>
      <c r="AH83" s="80">
        <f t="shared" si="64"/>
        <v>0</v>
      </c>
      <c r="AI83" s="80">
        <f t="shared" si="64"/>
        <v>0</v>
      </c>
      <c r="AJ83" s="80">
        <f t="shared" si="64"/>
        <v>0</v>
      </c>
      <c r="AK83" s="80">
        <f t="shared" si="64"/>
        <v>0</v>
      </c>
      <c r="AL83" s="80">
        <f t="shared" si="64"/>
        <v>0</v>
      </c>
      <c r="AM83" s="80">
        <f t="shared" si="64"/>
        <v>0</v>
      </c>
      <c r="AN83" s="80">
        <f t="shared" si="64"/>
        <v>0</v>
      </c>
      <c r="AO83" s="80">
        <f t="shared" si="64"/>
        <v>0</v>
      </c>
      <c r="AP83" s="80">
        <f t="shared" si="64"/>
        <v>0</v>
      </c>
      <c r="AQ83" s="80">
        <f t="shared" si="64"/>
        <v>0</v>
      </c>
      <c r="AR83" s="80">
        <f t="shared" si="64"/>
        <v>0</v>
      </c>
      <c r="AS83" s="80">
        <f t="shared" si="61"/>
        <v>0</v>
      </c>
      <c r="AT83" s="80">
        <f t="shared" si="61"/>
        <v>0</v>
      </c>
      <c r="AU83" s="80">
        <f t="shared" si="61"/>
        <v>0</v>
      </c>
      <c r="AV83" s="80">
        <f t="shared" si="61"/>
        <v>0</v>
      </c>
      <c r="AW83" s="80">
        <f t="shared" si="61"/>
        <v>0</v>
      </c>
      <c r="AX83" s="80">
        <f t="shared" si="61"/>
        <v>0</v>
      </c>
      <c r="AY83" s="80">
        <f t="shared" si="61"/>
        <v>0</v>
      </c>
      <c r="AZ83" s="80">
        <f t="shared" si="61"/>
        <v>0</v>
      </c>
      <c r="BA83" s="80">
        <f t="shared" si="61"/>
        <v>0</v>
      </c>
      <c r="BB83" s="80">
        <f t="shared" si="61"/>
        <v>0</v>
      </c>
      <c r="BC83" s="80">
        <f t="shared" si="61"/>
        <v>0</v>
      </c>
      <c r="BD83" s="61"/>
      <c r="BE83" s="76">
        <f t="shared" si="63"/>
        <v>0</v>
      </c>
      <c r="BF83" s="76">
        <f t="shared" si="62"/>
        <v>0</v>
      </c>
      <c r="BG83" s="76">
        <f t="shared" si="62"/>
        <v>0</v>
      </c>
      <c r="BH83" s="76">
        <f t="shared" si="62"/>
        <v>0</v>
      </c>
    </row>
    <row r="84" spans="2:60" ht="21" customHeight="1" x14ac:dyDescent="0.35">
      <c r="B84" s="60" t="str">
        <f>$B$17</f>
        <v>Huddles</v>
      </c>
      <c r="C84" s="48">
        <f>IF($C$17="","",$C$17)</f>
        <v>43678</v>
      </c>
      <c r="D84" s="48" t="str">
        <f t="shared" si="59"/>
        <v/>
      </c>
      <c r="E84" s="47">
        <f>IF(E$17="","",E$17)</f>
        <v>1</v>
      </c>
      <c r="F84" s="80">
        <f>Huddles!C45</f>
        <v>0</v>
      </c>
      <c r="G84" s="76"/>
      <c r="H84" s="80">
        <f t="shared" si="64"/>
        <v>0</v>
      </c>
      <c r="I84" s="80">
        <f t="shared" si="64"/>
        <v>0</v>
      </c>
      <c r="J84" s="80">
        <f t="shared" si="64"/>
        <v>0</v>
      </c>
      <c r="K84" s="80">
        <f t="shared" si="64"/>
        <v>0</v>
      </c>
      <c r="L84" s="80">
        <f t="shared" si="64"/>
        <v>0</v>
      </c>
      <c r="M84" s="80">
        <f t="shared" si="64"/>
        <v>0</v>
      </c>
      <c r="N84" s="80">
        <f t="shared" si="64"/>
        <v>0</v>
      </c>
      <c r="O84" s="80">
        <f t="shared" si="64"/>
        <v>0</v>
      </c>
      <c r="P84" s="80">
        <f t="shared" si="64"/>
        <v>0</v>
      </c>
      <c r="Q84" s="80">
        <f t="shared" si="64"/>
        <v>0</v>
      </c>
      <c r="R84" s="80">
        <f t="shared" si="64"/>
        <v>0</v>
      </c>
      <c r="S84" s="80">
        <f t="shared" si="64"/>
        <v>0</v>
      </c>
      <c r="T84" s="80">
        <f t="shared" si="64"/>
        <v>0</v>
      </c>
      <c r="U84" s="80">
        <f t="shared" si="64"/>
        <v>0</v>
      </c>
      <c r="V84" s="80">
        <f t="shared" si="64"/>
        <v>0</v>
      </c>
      <c r="W84" s="80">
        <f t="shared" si="64"/>
        <v>0</v>
      </c>
      <c r="X84" s="80">
        <f t="shared" si="64"/>
        <v>0</v>
      </c>
      <c r="Y84" s="80">
        <f t="shared" si="64"/>
        <v>0</v>
      </c>
      <c r="Z84" s="80">
        <f t="shared" si="64"/>
        <v>0</v>
      </c>
      <c r="AA84" s="80">
        <f t="shared" si="64"/>
        <v>0</v>
      </c>
      <c r="AB84" s="80">
        <f t="shared" si="64"/>
        <v>0</v>
      </c>
      <c r="AC84" s="80">
        <f t="shared" si="64"/>
        <v>0</v>
      </c>
      <c r="AD84" s="80">
        <f t="shared" si="64"/>
        <v>0</v>
      </c>
      <c r="AE84" s="80">
        <f t="shared" si="64"/>
        <v>0</v>
      </c>
      <c r="AF84" s="80">
        <f t="shared" si="64"/>
        <v>0</v>
      </c>
      <c r="AG84" s="80">
        <f t="shared" si="64"/>
        <v>0</v>
      </c>
      <c r="AH84" s="80">
        <f t="shared" si="64"/>
        <v>0</v>
      </c>
      <c r="AI84" s="80">
        <f t="shared" si="64"/>
        <v>0</v>
      </c>
      <c r="AJ84" s="80">
        <f t="shared" si="64"/>
        <v>0</v>
      </c>
      <c r="AK84" s="80">
        <f t="shared" si="64"/>
        <v>0</v>
      </c>
      <c r="AL84" s="80">
        <f t="shared" si="64"/>
        <v>0</v>
      </c>
      <c r="AM84" s="80">
        <f t="shared" si="64"/>
        <v>0</v>
      </c>
      <c r="AN84" s="80">
        <f t="shared" si="64"/>
        <v>0</v>
      </c>
      <c r="AO84" s="80">
        <f t="shared" si="64"/>
        <v>0</v>
      </c>
      <c r="AP84" s="80">
        <f t="shared" si="64"/>
        <v>0</v>
      </c>
      <c r="AQ84" s="80">
        <f t="shared" si="64"/>
        <v>0</v>
      </c>
      <c r="AR84" s="80">
        <f t="shared" si="64"/>
        <v>0</v>
      </c>
      <c r="AS84" s="80">
        <f t="shared" si="61"/>
        <v>0</v>
      </c>
      <c r="AT84" s="80">
        <f t="shared" si="61"/>
        <v>0</v>
      </c>
      <c r="AU84" s="80">
        <f t="shared" si="61"/>
        <v>0</v>
      </c>
      <c r="AV84" s="80">
        <f t="shared" si="61"/>
        <v>0</v>
      </c>
      <c r="AW84" s="80">
        <f t="shared" si="61"/>
        <v>0</v>
      </c>
      <c r="AX84" s="80">
        <f t="shared" si="61"/>
        <v>0</v>
      </c>
      <c r="AY84" s="80">
        <f t="shared" si="61"/>
        <v>0</v>
      </c>
      <c r="AZ84" s="80">
        <f t="shared" si="61"/>
        <v>0</v>
      </c>
      <c r="BA84" s="80">
        <f t="shared" si="61"/>
        <v>0</v>
      </c>
      <c r="BB84" s="80">
        <f t="shared" si="61"/>
        <v>0</v>
      </c>
      <c r="BC84" s="80">
        <f t="shared" si="61"/>
        <v>0</v>
      </c>
      <c r="BD84" s="61"/>
      <c r="BE84" s="76">
        <f t="shared" si="63"/>
        <v>0</v>
      </c>
      <c r="BF84" s="76">
        <f t="shared" si="62"/>
        <v>0</v>
      </c>
      <c r="BG84" s="76">
        <f t="shared" si="62"/>
        <v>0</v>
      </c>
      <c r="BH84" s="76">
        <f t="shared" si="62"/>
        <v>0</v>
      </c>
    </row>
    <row r="85" spans="2:60" ht="21" customHeight="1" x14ac:dyDescent="0.35">
      <c r="B85" s="60" t="str">
        <f>$B$18</f>
        <v>Health Care Assistants</v>
      </c>
      <c r="C85" s="48">
        <f>IF($C$18="","",$C$18)</f>
        <v>43739</v>
      </c>
      <c r="D85" s="48" t="str">
        <f t="shared" si="59"/>
        <v/>
      </c>
      <c r="E85" s="47">
        <f>IF(E$18="","",E$18)</f>
        <v>6</v>
      </c>
      <c r="F85" s="80"/>
      <c r="G85" s="76"/>
      <c r="H85" s="80">
        <f t="shared" si="64"/>
        <v>0</v>
      </c>
      <c r="I85" s="80">
        <f t="shared" si="64"/>
        <v>0</v>
      </c>
      <c r="J85" s="80">
        <f t="shared" si="64"/>
        <v>0</v>
      </c>
      <c r="K85" s="80">
        <f t="shared" si="64"/>
        <v>0</v>
      </c>
      <c r="L85" s="80">
        <f t="shared" si="64"/>
        <v>0</v>
      </c>
      <c r="M85" s="80">
        <f t="shared" si="64"/>
        <v>0</v>
      </c>
      <c r="N85" s="80">
        <f t="shared" si="64"/>
        <v>0</v>
      </c>
      <c r="O85" s="80">
        <f t="shared" si="64"/>
        <v>0</v>
      </c>
      <c r="P85" s="80">
        <f t="shared" si="64"/>
        <v>0</v>
      </c>
      <c r="Q85" s="80">
        <f t="shared" si="64"/>
        <v>0</v>
      </c>
      <c r="R85" s="80">
        <f t="shared" si="64"/>
        <v>0</v>
      </c>
      <c r="S85" s="80">
        <f t="shared" si="64"/>
        <v>0</v>
      </c>
      <c r="T85" s="80">
        <f t="shared" si="64"/>
        <v>0</v>
      </c>
      <c r="U85" s="80">
        <f t="shared" si="64"/>
        <v>0</v>
      </c>
      <c r="V85" s="80">
        <f t="shared" si="64"/>
        <v>0</v>
      </c>
      <c r="W85" s="80">
        <f t="shared" si="64"/>
        <v>0</v>
      </c>
      <c r="X85" s="80">
        <f t="shared" si="64"/>
        <v>0</v>
      </c>
      <c r="Y85" s="80">
        <f t="shared" si="64"/>
        <v>0</v>
      </c>
      <c r="Z85" s="80">
        <f t="shared" si="64"/>
        <v>0</v>
      </c>
      <c r="AA85" s="80">
        <f t="shared" si="64"/>
        <v>0</v>
      </c>
      <c r="AB85" s="80">
        <f t="shared" si="64"/>
        <v>0</v>
      </c>
      <c r="AC85" s="80">
        <f t="shared" si="64"/>
        <v>0</v>
      </c>
      <c r="AD85" s="80">
        <f t="shared" si="64"/>
        <v>0</v>
      </c>
      <c r="AE85" s="80">
        <f t="shared" si="64"/>
        <v>0</v>
      </c>
      <c r="AF85" s="80">
        <f t="shared" si="64"/>
        <v>0</v>
      </c>
      <c r="AG85" s="80">
        <f t="shared" si="64"/>
        <v>0</v>
      </c>
      <c r="AH85" s="80">
        <f t="shared" si="64"/>
        <v>0</v>
      </c>
      <c r="AI85" s="80">
        <f t="shared" si="64"/>
        <v>0</v>
      </c>
      <c r="AJ85" s="80">
        <f t="shared" si="64"/>
        <v>0</v>
      </c>
      <c r="AK85" s="80">
        <f t="shared" si="64"/>
        <v>0</v>
      </c>
      <c r="AL85" s="80">
        <f t="shared" si="64"/>
        <v>0</v>
      </c>
      <c r="AM85" s="80">
        <f t="shared" si="64"/>
        <v>0</v>
      </c>
      <c r="AN85" s="80">
        <f t="shared" si="64"/>
        <v>0</v>
      </c>
      <c r="AO85" s="80">
        <f t="shared" si="64"/>
        <v>0</v>
      </c>
      <c r="AP85" s="80">
        <f t="shared" si="64"/>
        <v>0</v>
      </c>
      <c r="AQ85" s="80">
        <f t="shared" si="64"/>
        <v>0</v>
      </c>
      <c r="AR85" s="80">
        <f t="shared" si="64"/>
        <v>0</v>
      </c>
      <c r="AS85" s="80">
        <f t="shared" si="61"/>
        <v>0</v>
      </c>
      <c r="AT85" s="80">
        <f t="shared" si="61"/>
        <v>0</v>
      </c>
      <c r="AU85" s="80">
        <f t="shared" si="61"/>
        <v>0</v>
      </c>
      <c r="AV85" s="80">
        <f t="shared" si="61"/>
        <v>0</v>
      </c>
      <c r="AW85" s="80">
        <f t="shared" si="61"/>
        <v>0</v>
      </c>
      <c r="AX85" s="80">
        <f t="shared" si="61"/>
        <v>0</v>
      </c>
      <c r="AY85" s="80">
        <f t="shared" si="61"/>
        <v>0</v>
      </c>
      <c r="AZ85" s="80">
        <f t="shared" si="61"/>
        <v>0</v>
      </c>
      <c r="BA85" s="80">
        <f t="shared" si="61"/>
        <v>0</v>
      </c>
      <c r="BB85" s="80">
        <f t="shared" si="61"/>
        <v>0</v>
      </c>
      <c r="BC85" s="80">
        <f t="shared" si="61"/>
        <v>0</v>
      </c>
      <c r="BD85" s="61"/>
      <c r="BE85" s="76">
        <f t="shared" si="63"/>
        <v>0</v>
      </c>
      <c r="BF85" s="76">
        <f t="shared" si="62"/>
        <v>0</v>
      </c>
      <c r="BG85" s="76">
        <f t="shared" si="62"/>
        <v>0</v>
      </c>
      <c r="BH85" s="76">
        <f t="shared" si="62"/>
        <v>0</v>
      </c>
    </row>
    <row r="86" spans="2:60" ht="21" customHeight="1" x14ac:dyDescent="0.35">
      <c r="B86" s="60" t="str">
        <f>$B$19</f>
        <v>Patient portals</v>
      </c>
      <c r="C86" s="48">
        <f>IF($C$19="","",$C$19)</f>
        <v>43678</v>
      </c>
      <c r="D86" s="48" t="str">
        <f t="shared" si="59"/>
        <v/>
      </c>
      <c r="E86" s="47">
        <f>IF(E$19="","",E$19)</f>
        <v>36</v>
      </c>
      <c r="F86" s="80">
        <f>'Patient Portal'!H41</f>
        <v>0</v>
      </c>
      <c r="G86" s="76"/>
      <c r="H86" s="80">
        <f t="shared" si="64"/>
        <v>0</v>
      </c>
      <c r="I86" s="80">
        <f t="shared" si="64"/>
        <v>0</v>
      </c>
      <c r="J86" s="80">
        <f t="shared" si="64"/>
        <v>0</v>
      </c>
      <c r="K86" s="80">
        <f t="shared" si="64"/>
        <v>0</v>
      </c>
      <c r="L86" s="80">
        <f t="shared" si="64"/>
        <v>0</v>
      </c>
      <c r="M86" s="80">
        <f t="shared" si="64"/>
        <v>0</v>
      </c>
      <c r="N86" s="80">
        <f t="shared" si="64"/>
        <v>0</v>
      </c>
      <c r="O86" s="80">
        <f t="shared" si="64"/>
        <v>0</v>
      </c>
      <c r="P86" s="80">
        <f t="shared" si="64"/>
        <v>0</v>
      </c>
      <c r="Q86" s="80">
        <f t="shared" si="64"/>
        <v>0</v>
      </c>
      <c r="R86" s="80">
        <f t="shared" si="64"/>
        <v>0</v>
      </c>
      <c r="S86" s="80">
        <f t="shared" si="64"/>
        <v>0</v>
      </c>
      <c r="T86" s="80">
        <f t="shared" si="64"/>
        <v>0</v>
      </c>
      <c r="U86" s="80">
        <f t="shared" si="64"/>
        <v>0</v>
      </c>
      <c r="V86" s="80">
        <f t="shared" si="64"/>
        <v>0</v>
      </c>
      <c r="W86" s="80">
        <f t="shared" si="64"/>
        <v>0</v>
      </c>
      <c r="X86" s="80">
        <f t="shared" si="64"/>
        <v>0</v>
      </c>
      <c r="Y86" s="80">
        <f t="shared" si="64"/>
        <v>0</v>
      </c>
      <c r="Z86" s="80">
        <f t="shared" si="64"/>
        <v>0</v>
      </c>
      <c r="AA86" s="80">
        <f t="shared" si="64"/>
        <v>0</v>
      </c>
      <c r="AB86" s="80">
        <f t="shared" si="64"/>
        <v>0</v>
      </c>
      <c r="AC86" s="80">
        <f t="shared" si="64"/>
        <v>0</v>
      </c>
      <c r="AD86" s="80">
        <f t="shared" si="64"/>
        <v>0</v>
      </c>
      <c r="AE86" s="80">
        <f t="shared" si="64"/>
        <v>0</v>
      </c>
      <c r="AF86" s="80">
        <f t="shared" si="64"/>
        <v>0</v>
      </c>
      <c r="AG86" s="80">
        <f t="shared" si="64"/>
        <v>0</v>
      </c>
      <c r="AH86" s="80">
        <f t="shared" si="64"/>
        <v>0</v>
      </c>
      <c r="AI86" s="80">
        <f t="shared" si="64"/>
        <v>0</v>
      </c>
      <c r="AJ86" s="80">
        <f t="shared" si="64"/>
        <v>0</v>
      </c>
      <c r="AK86" s="80">
        <f t="shared" si="64"/>
        <v>0</v>
      </c>
      <c r="AL86" s="80">
        <f t="shared" si="64"/>
        <v>0</v>
      </c>
      <c r="AM86" s="80">
        <f t="shared" si="64"/>
        <v>0</v>
      </c>
      <c r="AN86" s="80">
        <f t="shared" si="64"/>
        <v>0</v>
      </c>
      <c r="AO86" s="80">
        <f t="shared" si="64"/>
        <v>0</v>
      </c>
      <c r="AP86" s="80">
        <f t="shared" si="64"/>
        <v>0</v>
      </c>
      <c r="AQ86" s="80">
        <f t="shared" si="64"/>
        <v>0</v>
      </c>
      <c r="AR86" s="80">
        <f t="shared" si="64"/>
        <v>0</v>
      </c>
      <c r="AS86" s="80">
        <f t="shared" si="61"/>
        <v>0</v>
      </c>
      <c r="AT86" s="80">
        <f t="shared" si="61"/>
        <v>0</v>
      </c>
      <c r="AU86" s="80">
        <f t="shared" si="61"/>
        <v>0</v>
      </c>
      <c r="AV86" s="80">
        <f t="shared" si="61"/>
        <v>0</v>
      </c>
      <c r="AW86" s="80">
        <f t="shared" si="61"/>
        <v>0</v>
      </c>
      <c r="AX86" s="80">
        <f t="shared" si="61"/>
        <v>0</v>
      </c>
      <c r="AY86" s="80">
        <f t="shared" si="61"/>
        <v>0</v>
      </c>
      <c r="AZ86" s="80">
        <f t="shared" si="61"/>
        <v>0</v>
      </c>
      <c r="BA86" s="80">
        <f t="shared" si="61"/>
        <v>0</v>
      </c>
      <c r="BB86" s="80">
        <f t="shared" si="61"/>
        <v>0</v>
      </c>
      <c r="BC86" s="80">
        <f t="shared" si="61"/>
        <v>0</v>
      </c>
      <c r="BD86" s="61"/>
      <c r="BE86" s="76">
        <f t="shared" si="63"/>
        <v>0</v>
      </c>
      <c r="BF86" s="76">
        <f t="shared" si="62"/>
        <v>0</v>
      </c>
      <c r="BG86" s="76">
        <f t="shared" si="62"/>
        <v>0</v>
      </c>
      <c r="BH86" s="76">
        <f t="shared" si="62"/>
        <v>0</v>
      </c>
    </row>
    <row r="87" spans="2:60" ht="21" customHeight="1" x14ac:dyDescent="0.35">
      <c r="B87" s="60" t="str">
        <f>$B$20</f>
        <v>Community Engagement</v>
      </c>
      <c r="C87" s="48" t="str">
        <f>IF($C$20="","",$C$20)</f>
        <v/>
      </c>
      <c r="D87" s="48" t="str">
        <f t="shared" si="59"/>
        <v/>
      </c>
      <c r="E87" s="47" t="str">
        <f>IF(E$20="","",E$20)</f>
        <v/>
      </c>
      <c r="F87" s="80"/>
      <c r="G87" s="76"/>
      <c r="H87" s="80">
        <f t="shared" si="64"/>
        <v>0</v>
      </c>
      <c r="I87" s="80">
        <f t="shared" si="64"/>
        <v>0</v>
      </c>
      <c r="J87" s="80">
        <f t="shared" si="64"/>
        <v>0</v>
      </c>
      <c r="K87" s="80">
        <f t="shared" si="64"/>
        <v>0</v>
      </c>
      <c r="L87" s="80">
        <f t="shared" si="64"/>
        <v>0</v>
      </c>
      <c r="M87" s="80">
        <f t="shared" si="64"/>
        <v>0</v>
      </c>
      <c r="N87" s="80">
        <f t="shared" si="64"/>
        <v>0</v>
      </c>
      <c r="O87" s="80">
        <f t="shared" si="64"/>
        <v>0</v>
      </c>
      <c r="P87" s="80">
        <f t="shared" si="64"/>
        <v>0</v>
      </c>
      <c r="Q87" s="80">
        <f t="shared" si="64"/>
        <v>0</v>
      </c>
      <c r="R87" s="80">
        <f t="shared" si="64"/>
        <v>0</v>
      </c>
      <c r="S87" s="80">
        <f t="shared" si="64"/>
        <v>0</v>
      </c>
      <c r="T87" s="80">
        <f t="shared" si="64"/>
        <v>0</v>
      </c>
      <c r="U87" s="80">
        <f t="shared" si="64"/>
        <v>0</v>
      </c>
      <c r="V87" s="80">
        <f t="shared" si="64"/>
        <v>0</v>
      </c>
      <c r="W87" s="80">
        <f t="shared" si="64"/>
        <v>0</v>
      </c>
      <c r="X87" s="80">
        <f t="shared" si="64"/>
        <v>0</v>
      </c>
      <c r="Y87" s="80">
        <f t="shared" si="64"/>
        <v>0</v>
      </c>
      <c r="Z87" s="80">
        <f t="shared" si="64"/>
        <v>0</v>
      </c>
      <c r="AA87" s="80">
        <f t="shared" si="64"/>
        <v>0</v>
      </c>
      <c r="AB87" s="80">
        <f t="shared" si="64"/>
        <v>0</v>
      </c>
      <c r="AC87" s="80">
        <f t="shared" si="64"/>
        <v>0</v>
      </c>
      <c r="AD87" s="80">
        <f t="shared" si="64"/>
        <v>0</v>
      </c>
      <c r="AE87" s="80">
        <f t="shared" si="64"/>
        <v>0</v>
      </c>
      <c r="AF87" s="80">
        <f t="shared" si="64"/>
        <v>0</v>
      </c>
      <c r="AG87" s="80">
        <f t="shared" si="64"/>
        <v>0</v>
      </c>
      <c r="AH87" s="80">
        <f t="shared" si="64"/>
        <v>0</v>
      </c>
      <c r="AI87" s="80">
        <f t="shared" si="64"/>
        <v>0</v>
      </c>
      <c r="AJ87" s="80">
        <f t="shared" si="64"/>
        <v>0</v>
      </c>
      <c r="AK87" s="80">
        <f t="shared" si="64"/>
        <v>0</v>
      </c>
      <c r="AL87" s="80">
        <f t="shared" si="64"/>
        <v>0</v>
      </c>
      <c r="AM87" s="80">
        <f t="shared" si="64"/>
        <v>0</v>
      </c>
      <c r="AN87" s="80">
        <f t="shared" si="64"/>
        <v>0</v>
      </c>
      <c r="AO87" s="80">
        <f t="shared" si="64"/>
        <v>0</v>
      </c>
      <c r="AP87" s="80">
        <f t="shared" si="64"/>
        <v>0</v>
      </c>
      <c r="AQ87" s="80">
        <f t="shared" si="64"/>
        <v>0</v>
      </c>
      <c r="AR87" s="80">
        <f t="shared" si="64"/>
        <v>0</v>
      </c>
      <c r="AS87" s="80">
        <f t="shared" si="61"/>
        <v>0</v>
      </c>
      <c r="AT87" s="80">
        <f t="shared" si="61"/>
        <v>0</v>
      </c>
      <c r="AU87" s="80">
        <f t="shared" si="61"/>
        <v>0</v>
      </c>
      <c r="AV87" s="80">
        <f t="shared" si="61"/>
        <v>0</v>
      </c>
      <c r="AW87" s="80">
        <f t="shared" si="61"/>
        <v>0</v>
      </c>
      <c r="AX87" s="80">
        <f t="shared" si="61"/>
        <v>0</v>
      </c>
      <c r="AY87" s="80">
        <f t="shared" si="61"/>
        <v>0</v>
      </c>
      <c r="AZ87" s="80">
        <f t="shared" si="61"/>
        <v>0</v>
      </c>
      <c r="BA87" s="80">
        <f t="shared" si="61"/>
        <v>0</v>
      </c>
      <c r="BB87" s="80">
        <f t="shared" si="61"/>
        <v>0</v>
      </c>
      <c r="BC87" s="80">
        <f t="shared" si="61"/>
        <v>0</v>
      </c>
      <c r="BD87" s="61"/>
      <c r="BE87" s="76">
        <f t="shared" si="63"/>
        <v>0</v>
      </c>
      <c r="BF87" s="76">
        <f t="shared" si="62"/>
        <v>0</v>
      </c>
      <c r="BG87" s="76">
        <f t="shared" si="62"/>
        <v>0</v>
      </c>
      <c r="BH87" s="76">
        <f t="shared" si="62"/>
        <v>0</v>
      </c>
    </row>
    <row r="88" spans="2:60" ht="21" customHeight="1" x14ac:dyDescent="0.35">
      <c r="B88" s="60" t="str">
        <f>$B$21</f>
        <v>Integration</v>
      </c>
      <c r="C88" s="48" t="str">
        <f>IF($C$21="","",$C$21)</f>
        <v/>
      </c>
      <c r="D88" s="48" t="str">
        <f t="shared" si="59"/>
        <v/>
      </c>
      <c r="E88" s="47" t="str">
        <f>IF(E$21="","",E$21)</f>
        <v/>
      </c>
      <c r="F88" s="80"/>
      <c r="G88" s="76"/>
      <c r="H88" s="80">
        <f t="shared" si="64"/>
        <v>0</v>
      </c>
      <c r="I88" s="80">
        <f t="shared" si="64"/>
        <v>0</v>
      </c>
      <c r="J88" s="80">
        <f t="shared" si="64"/>
        <v>0</v>
      </c>
      <c r="K88" s="80">
        <f t="shared" si="64"/>
        <v>0</v>
      </c>
      <c r="L88" s="80">
        <f t="shared" si="64"/>
        <v>0</v>
      </c>
      <c r="M88" s="80">
        <f t="shared" si="64"/>
        <v>0</v>
      </c>
      <c r="N88" s="80">
        <f t="shared" si="64"/>
        <v>0</v>
      </c>
      <c r="O88" s="80">
        <f t="shared" si="64"/>
        <v>0</v>
      </c>
      <c r="P88" s="80">
        <f t="shared" si="64"/>
        <v>0</v>
      </c>
      <c r="Q88" s="80">
        <f t="shared" si="64"/>
        <v>0</v>
      </c>
      <c r="R88" s="80">
        <f t="shared" si="64"/>
        <v>0</v>
      </c>
      <c r="S88" s="80">
        <f t="shared" si="64"/>
        <v>0</v>
      </c>
      <c r="T88" s="80">
        <f t="shared" si="64"/>
        <v>0</v>
      </c>
      <c r="U88" s="80">
        <f t="shared" si="64"/>
        <v>0</v>
      </c>
      <c r="V88" s="80">
        <f t="shared" si="64"/>
        <v>0</v>
      </c>
      <c r="W88" s="80">
        <f t="shared" si="64"/>
        <v>0</v>
      </c>
      <c r="X88" s="80">
        <f t="shared" si="64"/>
        <v>0</v>
      </c>
      <c r="Y88" s="80">
        <f t="shared" si="64"/>
        <v>0</v>
      </c>
      <c r="Z88" s="80">
        <f t="shared" si="64"/>
        <v>0</v>
      </c>
      <c r="AA88" s="80">
        <f t="shared" si="64"/>
        <v>0</v>
      </c>
      <c r="AB88" s="80">
        <f t="shared" si="64"/>
        <v>0</v>
      </c>
      <c r="AC88" s="80">
        <f t="shared" si="64"/>
        <v>0</v>
      </c>
      <c r="AD88" s="80">
        <f t="shared" si="64"/>
        <v>0</v>
      </c>
      <c r="AE88" s="80">
        <f t="shared" si="64"/>
        <v>0</v>
      </c>
      <c r="AF88" s="80">
        <f t="shared" si="64"/>
        <v>0</v>
      </c>
      <c r="AG88" s="80">
        <f t="shared" si="64"/>
        <v>0</v>
      </c>
      <c r="AH88" s="80">
        <f t="shared" si="64"/>
        <v>0</v>
      </c>
      <c r="AI88" s="80">
        <f t="shared" si="64"/>
        <v>0</v>
      </c>
      <c r="AJ88" s="80">
        <f t="shared" si="64"/>
        <v>0</v>
      </c>
      <c r="AK88" s="80">
        <f t="shared" si="64"/>
        <v>0</v>
      </c>
      <c r="AL88" s="80">
        <f t="shared" si="64"/>
        <v>0</v>
      </c>
      <c r="AM88" s="80">
        <f t="shared" si="64"/>
        <v>0</v>
      </c>
      <c r="AN88" s="80">
        <f t="shared" si="64"/>
        <v>0</v>
      </c>
      <c r="AO88" s="80">
        <f t="shared" si="64"/>
        <v>0</v>
      </c>
      <c r="AP88" s="80">
        <f t="shared" si="64"/>
        <v>0</v>
      </c>
      <c r="AQ88" s="80">
        <f t="shared" si="64"/>
        <v>0</v>
      </c>
      <c r="AR88" s="80">
        <f t="shared" si="64"/>
        <v>0</v>
      </c>
      <c r="AS88" s="80">
        <f t="shared" si="61"/>
        <v>0</v>
      </c>
      <c r="AT88" s="80">
        <f t="shared" si="61"/>
        <v>0</v>
      </c>
      <c r="AU88" s="80">
        <f t="shared" si="61"/>
        <v>0</v>
      </c>
      <c r="AV88" s="80">
        <f t="shared" si="61"/>
        <v>0</v>
      </c>
      <c r="AW88" s="80">
        <f t="shared" si="61"/>
        <v>0</v>
      </c>
      <c r="AX88" s="80">
        <f t="shared" si="61"/>
        <v>0</v>
      </c>
      <c r="AY88" s="80">
        <f t="shared" si="61"/>
        <v>0</v>
      </c>
      <c r="AZ88" s="80">
        <f t="shared" si="61"/>
        <v>0</v>
      </c>
      <c r="BA88" s="80">
        <f t="shared" si="61"/>
        <v>0</v>
      </c>
      <c r="BB88" s="80">
        <f t="shared" si="61"/>
        <v>0</v>
      </c>
      <c r="BC88" s="80">
        <f t="shared" si="61"/>
        <v>0</v>
      </c>
      <c r="BD88" s="61"/>
      <c r="BE88" s="76">
        <f t="shared" si="63"/>
        <v>0</v>
      </c>
      <c r="BF88" s="76">
        <f t="shared" si="62"/>
        <v>0</v>
      </c>
      <c r="BG88" s="76">
        <f t="shared" si="62"/>
        <v>0</v>
      </c>
      <c r="BH88" s="76">
        <f t="shared" si="62"/>
        <v>0</v>
      </c>
    </row>
    <row r="89" spans="2:60" ht="21" customHeight="1" x14ac:dyDescent="0.35">
      <c r="B89" s="60" t="str">
        <f>$B$22</f>
        <v>Quality &amp; Safety</v>
      </c>
      <c r="C89" s="48" t="str">
        <f>IF($C$22="","",$C$22)</f>
        <v/>
      </c>
      <c r="D89" s="48" t="str">
        <f t="shared" si="59"/>
        <v/>
      </c>
      <c r="E89" s="47" t="str">
        <f>IF(E$22="","",E$22)</f>
        <v/>
      </c>
      <c r="F89" s="80"/>
      <c r="G89" s="76"/>
      <c r="H89" s="80">
        <f t="shared" si="64"/>
        <v>0</v>
      </c>
      <c r="I89" s="80">
        <f t="shared" si="64"/>
        <v>0</v>
      </c>
      <c r="J89" s="80">
        <f t="shared" si="64"/>
        <v>0</v>
      </c>
      <c r="K89" s="80">
        <f t="shared" si="64"/>
        <v>0</v>
      </c>
      <c r="L89" s="80">
        <f t="shared" si="64"/>
        <v>0</v>
      </c>
      <c r="M89" s="80">
        <f t="shared" si="64"/>
        <v>0</v>
      </c>
      <c r="N89" s="80">
        <f t="shared" si="64"/>
        <v>0</v>
      </c>
      <c r="O89" s="80">
        <f t="shared" si="64"/>
        <v>0</v>
      </c>
      <c r="P89" s="80">
        <f t="shared" si="64"/>
        <v>0</v>
      </c>
      <c r="Q89" s="80">
        <f t="shared" si="64"/>
        <v>0</v>
      </c>
      <c r="R89" s="80">
        <f t="shared" si="64"/>
        <v>0</v>
      </c>
      <c r="S89" s="80">
        <f t="shared" si="64"/>
        <v>0</v>
      </c>
      <c r="T89" s="80">
        <f t="shared" si="64"/>
        <v>0</v>
      </c>
      <c r="U89" s="80">
        <f t="shared" si="64"/>
        <v>0</v>
      </c>
      <c r="V89" s="80">
        <f t="shared" si="64"/>
        <v>0</v>
      </c>
      <c r="W89" s="80">
        <f t="shared" si="64"/>
        <v>0</v>
      </c>
      <c r="X89" s="80">
        <f t="shared" si="64"/>
        <v>0</v>
      </c>
      <c r="Y89" s="80">
        <f t="shared" si="64"/>
        <v>0</v>
      </c>
      <c r="Z89" s="80">
        <f t="shared" si="64"/>
        <v>0</v>
      </c>
      <c r="AA89" s="80">
        <f t="shared" si="64"/>
        <v>0</v>
      </c>
      <c r="AB89" s="80">
        <f t="shared" si="64"/>
        <v>0</v>
      </c>
      <c r="AC89" s="80">
        <f t="shared" si="64"/>
        <v>0</v>
      </c>
      <c r="AD89" s="80">
        <f t="shared" si="64"/>
        <v>0</v>
      </c>
      <c r="AE89" s="80">
        <f t="shared" si="64"/>
        <v>0</v>
      </c>
      <c r="AF89" s="80">
        <f t="shared" si="64"/>
        <v>0</v>
      </c>
      <c r="AG89" s="80">
        <f t="shared" si="64"/>
        <v>0</v>
      </c>
      <c r="AH89" s="80">
        <f t="shared" si="64"/>
        <v>0</v>
      </c>
      <c r="AI89" s="80">
        <f t="shared" si="64"/>
        <v>0</v>
      </c>
      <c r="AJ89" s="80">
        <f t="shared" si="64"/>
        <v>0</v>
      </c>
      <c r="AK89" s="80">
        <f t="shared" si="64"/>
        <v>0</v>
      </c>
      <c r="AL89" s="80">
        <f t="shared" si="64"/>
        <v>0</v>
      </c>
      <c r="AM89" s="80">
        <f t="shared" si="64"/>
        <v>0</v>
      </c>
      <c r="AN89" s="80">
        <f t="shared" si="64"/>
        <v>0</v>
      </c>
      <c r="AO89" s="80">
        <f t="shared" si="64"/>
        <v>0</v>
      </c>
      <c r="AP89" s="80">
        <f t="shared" si="64"/>
        <v>0</v>
      </c>
      <c r="AQ89" s="80">
        <f t="shared" si="64"/>
        <v>0</v>
      </c>
      <c r="AR89" s="80">
        <f>IFERROR(MIN(1,MAX(0,(EOMONTH(AR$4,0)+1-$C89)/(EDATE($C89,$E89)-$C89)))*$F89/12+IF(AR$3=1,$G89/12,0),0)</f>
        <v>0</v>
      </c>
      <c r="AS89" s="80">
        <f t="shared" si="61"/>
        <v>0</v>
      </c>
      <c r="AT89" s="80">
        <f t="shared" si="61"/>
        <v>0</v>
      </c>
      <c r="AU89" s="80">
        <f t="shared" si="61"/>
        <v>0</v>
      </c>
      <c r="AV89" s="80">
        <f t="shared" si="61"/>
        <v>0</v>
      </c>
      <c r="AW89" s="80">
        <f t="shared" si="61"/>
        <v>0</v>
      </c>
      <c r="AX89" s="80">
        <f t="shared" si="61"/>
        <v>0</v>
      </c>
      <c r="AY89" s="80">
        <f t="shared" si="61"/>
        <v>0</v>
      </c>
      <c r="AZ89" s="80">
        <f t="shared" si="61"/>
        <v>0</v>
      </c>
      <c r="BA89" s="80">
        <f t="shared" si="61"/>
        <v>0</v>
      </c>
      <c r="BB89" s="80">
        <f t="shared" si="61"/>
        <v>0</v>
      </c>
      <c r="BC89" s="80">
        <f t="shared" si="61"/>
        <v>0</v>
      </c>
      <c r="BD89" s="61"/>
      <c r="BE89" s="76">
        <f t="shared" si="63"/>
        <v>0</v>
      </c>
      <c r="BF89" s="76">
        <f t="shared" si="62"/>
        <v>0</v>
      </c>
      <c r="BG89" s="76">
        <f t="shared" si="62"/>
        <v>0</v>
      </c>
      <c r="BH89" s="76">
        <f t="shared" si="62"/>
        <v>0</v>
      </c>
    </row>
    <row r="90" spans="2:60" ht="21" customHeight="1" x14ac:dyDescent="0.35">
      <c r="B90" s="60" t="str">
        <f>$B$23</f>
        <v>Other (staff release for training and implementation activity)</v>
      </c>
      <c r="C90" s="48">
        <f>IF($C$23="","",$C$23)</f>
        <v>43678</v>
      </c>
      <c r="D90" s="48" t="str">
        <f t="shared" si="59"/>
        <v/>
      </c>
      <c r="E90" s="47">
        <f>IF(E$23="","",E$23)</f>
        <v>1</v>
      </c>
      <c r="F90" s="80"/>
      <c r="G90" s="76">
        <f>Other!C32*60</f>
        <v>0</v>
      </c>
      <c r="H90" s="80">
        <f t="shared" ref="H90:AQ90" si="65">IFERROR(MIN(1,MAX(0,(EOMONTH(H$4,0)+1-$C90)/(EDATE($C90,$E90)-$C90)))*$F90/12+IF(H$3=1,$G90/12,0),0)</f>
        <v>0</v>
      </c>
      <c r="I90" s="80">
        <f t="shared" si="65"/>
        <v>0</v>
      </c>
      <c r="J90" s="80">
        <f t="shared" si="65"/>
        <v>0</v>
      </c>
      <c r="K90" s="80">
        <f t="shared" si="65"/>
        <v>0</v>
      </c>
      <c r="L90" s="80">
        <f t="shared" si="65"/>
        <v>0</v>
      </c>
      <c r="M90" s="80">
        <f t="shared" si="65"/>
        <v>0</v>
      </c>
      <c r="N90" s="80">
        <f t="shared" si="65"/>
        <v>0</v>
      </c>
      <c r="O90" s="80">
        <f t="shared" si="65"/>
        <v>0</v>
      </c>
      <c r="P90" s="80">
        <f t="shared" si="65"/>
        <v>0</v>
      </c>
      <c r="Q90" s="80">
        <f t="shared" si="65"/>
        <v>0</v>
      </c>
      <c r="R90" s="80">
        <f t="shared" si="65"/>
        <v>0</v>
      </c>
      <c r="S90" s="80">
        <f t="shared" si="65"/>
        <v>0</v>
      </c>
      <c r="T90" s="80">
        <f t="shared" si="65"/>
        <v>0</v>
      </c>
      <c r="U90" s="80">
        <f t="shared" si="65"/>
        <v>0</v>
      </c>
      <c r="V90" s="80">
        <f t="shared" si="65"/>
        <v>0</v>
      </c>
      <c r="W90" s="80">
        <f t="shared" si="65"/>
        <v>0</v>
      </c>
      <c r="X90" s="80">
        <f t="shared" si="65"/>
        <v>0</v>
      </c>
      <c r="Y90" s="80">
        <f t="shared" si="65"/>
        <v>0</v>
      </c>
      <c r="Z90" s="80">
        <f t="shared" si="65"/>
        <v>0</v>
      </c>
      <c r="AA90" s="80">
        <f t="shared" si="65"/>
        <v>0</v>
      </c>
      <c r="AB90" s="80">
        <f t="shared" si="65"/>
        <v>0</v>
      </c>
      <c r="AC90" s="80">
        <f t="shared" si="65"/>
        <v>0</v>
      </c>
      <c r="AD90" s="80">
        <f t="shared" si="65"/>
        <v>0</v>
      </c>
      <c r="AE90" s="80">
        <f t="shared" si="65"/>
        <v>0</v>
      </c>
      <c r="AF90" s="80">
        <f t="shared" si="65"/>
        <v>0</v>
      </c>
      <c r="AG90" s="80">
        <f t="shared" si="65"/>
        <v>0</v>
      </c>
      <c r="AH90" s="80">
        <f t="shared" si="65"/>
        <v>0</v>
      </c>
      <c r="AI90" s="80">
        <f t="shared" si="65"/>
        <v>0</v>
      </c>
      <c r="AJ90" s="80">
        <f t="shared" si="65"/>
        <v>0</v>
      </c>
      <c r="AK90" s="80">
        <f t="shared" si="65"/>
        <v>0</v>
      </c>
      <c r="AL90" s="80">
        <f t="shared" si="65"/>
        <v>0</v>
      </c>
      <c r="AM90" s="80">
        <f t="shared" si="65"/>
        <v>0</v>
      </c>
      <c r="AN90" s="80">
        <f t="shared" si="65"/>
        <v>0</v>
      </c>
      <c r="AO90" s="80">
        <f t="shared" si="65"/>
        <v>0</v>
      </c>
      <c r="AP90" s="80">
        <f t="shared" si="65"/>
        <v>0</v>
      </c>
      <c r="AQ90" s="80">
        <f t="shared" si="65"/>
        <v>0</v>
      </c>
      <c r="AR90" s="80">
        <f>IFERROR(MIN(1,MAX(0,(EOMONTH(AR$4,0)+1-$C90)/(EDATE($C90,$E90)-$C90)))*$F90/12+IF(AR$3=1,$G90/12,0),0)</f>
        <v>0</v>
      </c>
      <c r="AS90" s="80">
        <f t="shared" si="61"/>
        <v>0</v>
      </c>
      <c r="AT90" s="80">
        <f t="shared" si="61"/>
        <v>0</v>
      </c>
      <c r="AU90" s="80">
        <f t="shared" si="61"/>
        <v>0</v>
      </c>
      <c r="AV90" s="80">
        <f t="shared" si="61"/>
        <v>0</v>
      </c>
      <c r="AW90" s="80">
        <f t="shared" si="61"/>
        <v>0</v>
      </c>
      <c r="AX90" s="80">
        <f t="shared" si="61"/>
        <v>0</v>
      </c>
      <c r="AY90" s="80">
        <f t="shared" si="61"/>
        <v>0</v>
      </c>
      <c r="AZ90" s="80">
        <f t="shared" si="61"/>
        <v>0</v>
      </c>
      <c r="BA90" s="80">
        <f t="shared" si="61"/>
        <v>0</v>
      </c>
      <c r="BB90" s="80">
        <f t="shared" si="61"/>
        <v>0</v>
      </c>
      <c r="BC90" s="80">
        <f t="shared" si="61"/>
        <v>0</v>
      </c>
      <c r="BD90" s="61"/>
      <c r="BE90" s="76">
        <f t="shared" si="63"/>
        <v>0</v>
      </c>
      <c r="BF90" s="76">
        <f t="shared" si="62"/>
        <v>0</v>
      </c>
      <c r="BG90" s="76">
        <f t="shared" si="62"/>
        <v>0</v>
      </c>
      <c r="BH90" s="76">
        <f t="shared" si="62"/>
        <v>0</v>
      </c>
    </row>
    <row r="91" spans="2:60" ht="21" customHeight="1" x14ac:dyDescent="0.35">
      <c r="B91" s="49"/>
      <c r="C91" s="49"/>
      <c r="D91" s="49"/>
      <c r="E91" s="49"/>
    </row>
    <row r="92" spans="2:60" ht="20.399999999999999" customHeight="1" x14ac:dyDescent="0.35">
      <c r="B92" s="60" t="s">
        <v>253</v>
      </c>
      <c r="C92" s="48">
        <f>IF($C69="","",$C69)</f>
        <v>43678</v>
      </c>
      <c r="D92" s="48"/>
      <c r="E92" s="47">
        <f>IF(E69="","",E69)</f>
        <v>1</v>
      </c>
      <c r="F92" s="19">
        <f>SUM(F74:F90)</f>
        <v>0</v>
      </c>
      <c r="H92" s="19">
        <f>SUM(H74:H90)</f>
        <v>0</v>
      </c>
      <c r="I92" s="19">
        <f t="shared" ref="I92:BC92" si="66">SUM(I74:I90)</f>
        <v>0</v>
      </c>
      <c r="J92" s="19">
        <f t="shared" si="66"/>
        <v>0</v>
      </c>
      <c r="K92" s="19">
        <f t="shared" si="66"/>
        <v>0</v>
      </c>
      <c r="L92" s="19">
        <f t="shared" si="66"/>
        <v>0</v>
      </c>
      <c r="M92" s="19">
        <f t="shared" si="66"/>
        <v>0</v>
      </c>
      <c r="N92" s="19">
        <f t="shared" si="66"/>
        <v>0</v>
      </c>
      <c r="O92" s="19">
        <f t="shared" si="66"/>
        <v>0</v>
      </c>
      <c r="P92" s="19">
        <f t="shared" si="66"/>
        <v>0</v>
      </c>
      <c r="Q92" s="19">
        <f t="shared" si="66"/>
        <v>0</v>
      </c>
      <c r="R92" s="19">
        <f t="shared" si="66"/>
        <v>0</v>
      </c>
      <c r="S92" s="19">
        <f t="shared" si="66"/>
        <v>0</v>
      </c>
      <c r="T92" s="19">
        <f t="shared" si="66"/>
        <v>0</v>
      </c>
      <c r="U92" s="19">
        <f t="shared" si="66"/>
        <v>0</v>
      </c>
      <c r="V92" s="19">
        <f t="shared" si="66"/>
        <v>0</v>
      </c>
      <c r="W92" s="19">
        <f t="shared" si="66"/>
        <v>0</v>
      </c>
      <c r="X92" s="19">
        <f t="shared" si="66"/>
        <v>0</v>
      </c>
      <c r="Y92" s="19">
        <f t="shared" si="66"/>
        <v>0</v>
      </c>
      <c r="Z92" s="19">
        <f t="shared" si="66"/>
        <v>0</v>
      </c>
      <c r="AA92" s="19">
        <f t="shared" si="66"/>
        <v>0</v>
      </c>
      <c r="AB92" s="19">
        <f t="shared" si="66"/>
        <v>0</v>
      </c>
      <c r="AC92" s="19">
        <f t="shared" si="66"/>
        <v>0</v>
      </c>
      <c r="AD92" s="19">
        <f t="shared" si="66"/>
        <v>0</v>
      </c>
      <c r="AE92" s="19">
        <f t="shared" si="66"/>
        <v>0</v>
      </c>
      <c r="AF92" s="19">
        <f t="shared" si="66"/>
        <v>0</v>
      </c>
      <c r="AG92" s="19">
        <f t="shared" si="66"/>
        <v>0</v>
      </c>
      <c r="AH92" s="19">
        <f t="shared" si="66"/>
        <v>0</v>
      </c>
      <c r="AI92" s="19">
        <f t="shared" si="66"/>
        <v>0</v>
      </c>
      <c r="AJ92" s="19">
        <f t="shared" si="66"/>
        <v>0</v>
      </c>
      <c r="AK92" s="19">
        <f t="shared" si="66"/>
        <v>0</v>
      </c>
      <c r="AL92" s="19">
        <f t="shared" si="66"/>
        <v>0</v>
      </c>
      <c r="AM92" s="19">
        <f t="shared" si="66"/>
        <v>0</v>
      </c>
      <c r="AN92" s="19">
        <f t="shared" si="66"/>
        <v>0</v>
      </c>
      <c r="AO92" s="19">
        <f t="shared" si="66"/>
        <v>0</v>
      </c>
      <c r="AP92" s="19">
        <f t="shared" si="66"/>
        <v>0</v>
      </c>
      <c r="AQ92" s="19">
        <f t="shared" si="66"/>
        <v>0</v>
      </c>
      <c r="AR92" s="19">
        <f t="shared" si="66"/>
        <v>0</v>
      </c>
      <c r="AS92" s="19">
        <f t="shared" si="66"/>
        <v>0</v>
      </c>
      <c r="AT92" s="19">
        <f t="shared" si="66"/>
        <v>0</v>
      </c>
      <c r="AU92" s="19">
        <f t="shared" si="66"/>
        <v>0</v>
      </c>
      <c r="AV92" s="19">
        <f t="shared" si="66"/>
        <v>0</v>
      </c>
      <c r="AW92" s="19">
        <f t="shared" si="66"/>
        <v>0</v>
      </c>
      <c r="AX92" s="19">
        <f t="shared" si="66"/>
        <v>0</v>
      </c>
      <c r="AY92" s="19">
        <f t="shared" si="66"/>
        <v>0</v>
      </c>
      <c r="AZ92" s="19">
        <f t="shared" si="66"/>
        <v>0</v>
      </c>
      <c r="BA92" s="19">
        <f t="shared" si="66"/>
        <v>0</v>
      </c>
      <c r="BB92" s="19">
        <f t="shared" si="66"/>
        <v>0</v>
      </c>
      <c r="BC92" s="19">
        <f t="shared" si="66"/>
        <v>0</v>
      </c>
      <c r="BD92" s="61"/>
      <c r="BE92" s="80">
        <f>SUMIF($H$3:$BD$3,BE$3,$H92:$BD92)</f>
        <v>0</v>
      </c>
      <c r="BF92" s="80">
        <f t="shared" ref="BF92:BH92" si="67">SUMIF($H$3:$BD$3,BF$3,$H92:$BD92)</f>
        <v>0</v>
      </c>
      <c r="BG92" s="80">
        <f t="shared" si="67"/>
        <v>0</v>
      </c>
      <c r="BH92" s="80">
        <f t="shared" si="67"/>
        <v>0</v>
      </c>
    </row>
    <row r="93" spans="2:60" ht="21" customHeight="1" x14ac:dyDescent="0.35">
      <c r="B93" s="49"/>
      <c r="C93" s="49"/>
      <c r="D93" s="49"/>
      <c r="E93" s="49"/>
    </row>
    <row r="94" spans="2:60" ht="21" customHeight="1" x14ac:dyDescent="0.35">
      <c r="B94" s="58" t="s">
        <v>107</v>
      </c>
      <c r="C94" s="53" t="s">
        <v>58</v>
      </c>
      <c r="D94" s="53" t="s">
        <v>153</v>
      </c>
      <c r="E94" s="53" t="s">
        <v>59</v>
      </c>
      <c r="F94" s="53" t="s">
        <v>29</v>
      </c>
      <c r="G94" s="53" t="s">
        <v>307</v>
      </c>
      <c r="H94" s="59">
        <f>H$4</f>
        <v>43708</v>
      </c>
      <c r="I94" s="59">
        <f t="shared" ref="I94:BC94" si="68">I$4</f>
        <v>43738</v>
      </c>
      <c r="J94" s="59">
        <f t="shared" si="68"/>
        <v>43769</v>
      </c>
      <c r="K94" s="59">
        <f t="shared" si="68"/>
        <v>43799</v>
      </c>
      <c r="L94" s="59">
        <f t="shared" si="68"/>
        <v>43830</v>
      </c>
      <c r="M94" s="59">
        <f t="shared" si="68"/>
        <v>43861</v>
      </c>
      <c r="N94" s="59">
        <f t="shared" si="68"/>
        <v>43890</v>
      </c>
      <c r="O94" s="59">
        <f t="shared" si="68"/>
        <v>43921</v>
      </c>
      <c r="P94" s="59">
        <f t="shared" si="68"/>
        <v>43951</v>
      </c>
      <c r="Q94" s="59">
        <f t="shared" si="68"/>
        <v>43982</v>
      </c>
      <c r="R94" s="59">
        <f t="shared" si="68"/>
        <v>44012</v>
      </c>
      <c r="S94" s="59">
        <f t="shared" si="68"/>
        <v>44043</v>
      </c>
      <c r="T94" s="59">
        <f t="shared" si="68"/>
        <v>44074</v>
      </c>
      <c r="U94" s="59">
        <f t="shared" si="68"/>
        <v>44104</v>
      </c>
      <c r="V94" s="59">
        <f t="shared" si="68"/>
        <v>44135</v>
      </c>
      <c r="W94" s="59">
        <f t="shared" si="68"/>
        <v>44165</v>
      </c>
      <c r="X94" s="59">
        <f t="shared" si="68"/>
        <v>44196</v>
      </c>
      <c r="Y94" s="59">
        <f t="shared" si="68"/>
        <v>44227</v>
      </c>
      <c r="Z94" s="59">
        <f t="shared" si="68"/>
        <v>44255</v>
      </c>
      <c r="AA94" s="59">
        <f t="shared" si="68"/>
        <v>44286</v>
      </c>
      <c r="AB94" s="59">
        <f t="shared" si="68"/>
        <v>44316</v>
      </c>
      <c r="AC94" s="59">
        <f t="shared" si="68"/>
        <v>44347</v>
      </c>
      <c r="AD94" s="59">
        <f t="shared" si="68"/>
        <v>44377</v>
      </c>
      <c r="AE94" s="59">
        <f t="shared" si="68"/>
        <v>44408</v>
      </c>
      <c r="AF94" s="59">
        <f t="shared" si="68"/>
        <v>44439</v>
      </c>
      <c r="AG94" s="59">
        <f t="shared" si="68"/>
        <v>44469</v>
      </c>
      <c r="AH94" s="59">
        <f t="shared" si="68"/>
        <v>44500</v>
      </c>
      <c r="AI94" s="59">
        <f t="shared" si="68"/>
        <v>44530</v>
      </c>
      <c r="AJ94" s="59">
        <f t="shared" si="68"/>
        <v>44561</v>
      </c>
      <c r="AK94" s="59">
        <f t="shared" si="68"/>
        <v>44592</v>
      </c>
      <c r="AL94" s="59">
        <f t="shared" si="68"/>
        <v>44620</v>
      </c>
      <c r="AM94" s="59">
        <f t="shared" si="68"/>
        <v>44651</v>
      </c>
      <c r="AN94" s="59">
        <f t="shared" si="68"/>
        <v>44681</v>
      </c>
      <c r="AO94" s="59">
        <f t="shared" si="68"/>
        <v>44712</v>
      </c>
      <c r="AP94" s="59">
        <f t="shared" si="68"/>
        <v>44742</v>
      </c>
      <c r="AQ94" s="59">
        <f t="shared" si="68"/>
        <v>44773</v>
      </c>
      <c r="AR94" s="59">
        <f t="shared" si="68"/>
        <v>44804</v>
      </c>
      <c r="AS94" s="59">
        <f t="shared" si="68"/>
        <v>44834</v>
      </c>
      <c r="AT94" s="59">
        <f t="shared" si="68"/>
        <v>44865</v>
      </c>
      <c r="AU94" s="59">
        <f t="shared" si="68"/>
        <v>44895</v>
      </c>
      <c r="AV94" s="59">
        <f t="shared" si="68"/>
        <v>44926</v>
      </c>
      <c r="AW94" s="59">
        <f t="shared" si="68"/>
        <v>44957</v>
      </c>
      <c r="AX94" s="59">
        <f t="shared" si="68"/>
        <v>44985</v>
      </c>
      <c r="AY94" s="59">
        <f t="shared" si="68"/>
        <v>45016</v>
      </c>
      <c r="AZ94" s="59">
        <f t="shared" si="68"/>
        <v>45046</v>
      </c>
      <c r="BA94" s="59">
        <f t="shared" si="68"/>
        <v>45077</v>
      </c>
      <c r="BB94" s="59">
        <f t="shared" si="68"/>
        <v>45107</v>
      </c>
      <c r="BC94" s="59">
        <f t="shared" si="68"/>
        <v>45138</v>
      </c>
      <c r="BE94" s="72">
        <f>BE$3</f>
        <v>1</v>
      </c>
      <c r="BF94" s="72">
        <f>BF$3</f>
        <v>2</v>
      </c>
      <c r="BG94" s="72">
        <f>BG$3</f>
        <v>3</v>
      </c>
      <c r="BH94" s="72">
        <f>BH$3</f>
        <v>4</v>
      </c>
    </row>
    <row r="95" spans="2:60" ht="21" customHeight="1" x14ac:dyDescent="0.35">
      <c r="B95" s="60" t="str">
        <f>$B$7</f>
        <v>HCH Capitation Funding - Implementation</v>
      </c>
      <c r="C95" s="48">
        <f>IF($C$7="","",$C$7)</f>
        <v>43678</v>
      </c>
      <c r="D95" s="48">
        <f t="shared" ref="D95:D111" si="69">IF(D53="","",D53)</f>
        <v>44773</v>
      </c>
      <c r="E95" s="47">
        <f>IF(E$7="","",E$7)</f>
        <v>1</v>
      </c>
      <c r="F95" s="80"/>
      <c r="G95" s="76"/>
      <c r="H95" s="80"/>
      <c r="I95" s="80"/>
      <c r="J95" s="80"/>
      <c r="K95" s="80"/>
      <c r="L95" s="80"/>
      <c r="M95" s="80"/>
      <c r="N95" s="80"/>
      <c r="O95" s="80"/>
      <c r="P95" s="80"/>
      <c r="Q95" s="80"/>
      <c r="R95" s="80"/>
      <c r="S95" s="80"/>
      <c r="T95" s="80"/>
      <c r="U95" s="80"/>
      <c r="V95" s="80"/>
      <c r="W95" s="80"/>
      <c r="X95" s="80"/>
      <c r="Y95" s="80"/>
      <c r="Z95" s="80"/>
      <c r="AA95" s="80"/>
      <c r="AB95" s="80"/>
      <c r="AC95" s="80"/>
      <c r="AD95" s="80"/>
      <c r="AE95" s="80"/>
      <c r="AF95" s="80"/>
      <c r="AG95" s="80"/>
      <c r="AH95" s="80"/>
      <c r="AI95" s="80"/>
      <c r="AJ95" s="80"/>
      <c r="AK95" s="80"/>
      <c r="AL95" s="80"/>
      <c r="AM95" s="80"/>
      <c r="AN95" s="80"/>
      <c r="AO95" s="80"/>
      <c r="AP95" s="80"/>
      <c r="AQ95" s="80"/>
      <c r="AR95" s="80"/>
      <c r="AS95" s="80"/>
      <c r="AT95" s="80"/>
      <c r="AU95" s="80"/>
      <c r="AV95" s="80"/>
      <c r="AW95" s="80"/>
      <c r="AX95" s="80"/>
      <c r="AY95" s="80"/>
      <c r="AZ95" s="80"/>
      <c r="BA95" s="80"/>
      <c r="BB95" s="80"/>
      <c r="BC95" s="80"/>
    </row>
    <row r="96" spans="2:60" ht="21" customHeight="1" x14ac:dyDescent="0.35">
      <c r="B96" s="60" t="str">
        <f>$B$8</f>
        <v>HCH Capitation Funding - At Risk</v>
      </c>
      <c r="C96" s="48">
        <f>IF($C$8="","",$C$8)</f>
        <v>43678</v>
      </c>
      <c r="D96" s="48">
        <f t="shared" si="69"/>
        <v>44773</v>
      </c>
      <c r="E96" s="47">
        <f>IF(E$8="","",E$8)</f>
        <v>1</v>
      </c>
      <c r="F96" s="80"/>
      <c r="G96" s="76"/>
      <c r="H96" s="80"/>
      <c r="I96" s="80"/>
      <c r="J96" s="80"/>
      <c r="K96" s="80"/>
      <c r="L96" s="80"/>
      <c r="M96" s="80"/>
      <c r="N96" s="80"/>
      <c r="O96" s="80"/>
      <c r="P96" s="80"/>
      <c r="Q96" s="80"/>
      <c r="R96" s="80"/>
      <c r="S96" s="80"/>
      <c r="T96" s="80"/>
      <c r="U96" s="80"/>
      <c r="V96" s="80"/>
      <c r="W96" s="80"/>
      <c r="X96" s="80"/>
      <c r="Y96" s="80"/>
      <c r="Z96" s="80"/>
      <c r="AA96" s="80"/>
      <c r="AB96" s="80"/>
      <c r="AC96" s="80"/>
      <c r="AD96" s="80"/>
      <c r="AE96" s="80"/>
      <c r="AF96" s="80"/>
      <c r="AG96" s="80"/>
      <c r="AH96" s="80"/>
      <c r="AI96" s="80"/>
      <c r="AJ96" s="80"/>
      <c r="AK96" s="80"/>
      <c r="AL96" s="80"/>
      <c r="AM96" s="80"/>
      <c r="AN96" s="80"/>
      <c r="AO96" s="80"/>
      <c r="AP96" s="80"/>
      <c r="AQ96" s="80"/>
      <c r="AR96" s="80"/>
      <c r="AS96" s="80"/>
      <c r="AT96" s="80"/>
      <c r="AU96" s="80"/>
      <c r="AV96" s="80"/>
      <c r="AW96" s="80"/>
      <c r="AX96" s="80"/>
      <c r="AY96" s="80"/>
      <c r="AZ96" s="80"/>
      <c r="BA96" s="80"/>
      <c r="BB96" s="80"/>
      <c r="BC96" s="80"/>
    </row>
    <row r="97" spans="2:60" ht="21" customHeight="1" x14ac:dyDescent="0.35">
      <c r="B97" s="60" t="str">
        <f>$B$9</f>
        <v>Equity</v>
      </c>
      <c r="C97" s="48" t="str">
        <f>IF($C$9="","",$C$9)</f>
        <v/>
      </c>
      <c r="D97" s="48" t="str">
        <f t="shared" si="69"/>
        <v/>
      </c>
      <c r="E97" s="47" t="str">
        <f>IF(E$9="","",E$9)</f>
        <v/>
      </c>
      <c r="F97" s="80"/>
      <c r="G97" s="76"/>
      <c r="H97" s="80">
        <f t="shared" ref="H97:AQ104" si="70">IFERROR(MIN(1,MAX(0,(EOMONTH(H$4,0)+1-$C97)/(EDATE($C97,$E97)-$C97)))*$F97/12+IF(H$3=1,$G97/12,0),0)</f>
        <v>0</v>
      </c>
      <c r="I97" s="80">
        <f t="shared" si="70"/>
        <v>0</v>
      </c>
      <c r="J97" s="80">
        <f t="shared" si="70"/>
        <v>0</v>
      </c>
      <c r="K97" s="80">
        <f t="shared" si="70"/>
        <v>0</v>
      </c>
      <c r="L97" s="80">
        <f t="shared" si="70"/>
        <v>0</v>
      </c>
      <c r="M97" s="80">
        <f t="shared" si="70"/>
        <v>0</v>
      </c>
      <c r="N97" s="80">
        <f t="shared" si="70"/>
        <v>0</v>
      </c>
      <c r="O97" s="80">
        <f t="shared" si="70"/>
        <v>0</v>
      </c>
      <c r="P97" s="80">
        <f t="shared" si="70"/>
        <v>0</v>
      </c>
      <c r="Q97" s="80">
        <f t="shared" si="70"/>
        <v>0</v>
      </c>
      <c r="R97" s="80">
        <f t="shared" si="70"/>
        <v>0</v>
      </c>
      <c r="S97" s="80">
        <f t="shared" si="70"/>
        <v>0</v>
      </c>
      <c r="T97" s="80">
        <f t="shared" si="70"/>
        <v>0</v>
      </c>
      <c r="U97" s="80">
        <f t="shared" si="70"/>
        <v>0</v>
      </c>
      <c r="V97" s="80">
        <f t="shared" si="70"/>
        <v>0</v>
      </c>
      <c r="W97" s="80">
        <f t="shared" si="70"/>
        <v>0</v>
      </c>
      <c r="X97" s="80">
        <f t="shared" si="70"/>
        <v>0</v>
      </c>
      <c r="Y97" s="80">
        <f t="shared" si="70"/>
        <v>0</v>
      </c>
      <c r="Z97" s="80">
        <f t="shared" si="70"/>
        <v>0</v>
      </c>
      <c r="AA97" s="80">
        <f t="shared" si="70"/>
        <v>0</v>
      </c>
      <c r="AB97" s="80">
        <f t="shared" si="70"/>
        <v>0</v>
      </c>
      <c r="AC97" s="80">
        <f t="shared" si="70"/>
        <v>0</v>
      </c>
      <c r="AD97" s="80">
        <f t="shared" si="70"/>
        <v>0</v>
      </c>
      <c r="AE97" s="80">
        <f t="shared" si="70"/>
        <v>0</v>
      </c>
      <c r="AF97" s="80">
        <f t="shared" si="70"/>
        <v>0</v>
      </c>
      <c r="AG97" s="80">
        <f t="shared" si="70"/>
        <v>0</v>
      </c>
      <c r="AH97" s="80">
        <f t="shared" si="70"/>
        <v>0</v>
      </c>
      <c r="AI97" s="80">
        <f t="shared" si="70"/>
        <v>0</v>
      </c>
      <c r="AJ97" s="80">
        <f t="shared" si="70"/>
        <v>0</v>
      </c>
      <c r="AK97" s="80">
        <f t="shared" si="70"/>
        <v>0</v>
      </c>
      <c r="AL97" s="80">
        <f t="shared" si="70"/>
        <v>0</v>
      </c>
      <c r="AM97" s="80">
        <f t="shared" si="70"/>
        <v>0</v>
      </c>
      <c r="AN97" s="80">
        <f t="shared" si="70"/>
        <v>0</v>
      </c>
      <c r="AO97" s="80">
        <f t="shared" si="70"/>
        <v>0</v>
      </c>
      <c r="AP97" s="80">
        <f t="shared" si="70"/>
        <v>0</v>
      </c>
      <c r="AQ97" s="80">
        <f t="shared" si="70"/>
        <v>0</v>
      </c>
      <c r="AR97" s="80">
        <f t="shared" ref="AR97:BC111" si="71">IFERROR(MIN(1,MAX(0,(EOMONTH(AR$4,0)+1-$C97)/(EDATE($C97,$E97)-$C97)))*$F97/12+IF(AR$3=1,$G97/12,0),0)</f>
        <v>0</v>
      </c>
      <c r="AS97" s="80">
        <f t="shared" si="71"/>
        <v>0</v>
      </c>
      <c r="AT97" s="80">
        <f t="shared" si="71"/>
        <v>0</v>
      </c>
      <c r="AU97" s="80">
        <f t="shared" si="71"/>
        <v>0</v>
      </c>
      <c r="AV97" s="80">
        <f t="shared" si="71"/>
        <v>0</v>
      </c>
      <c r="AW97" s="80">
        <f t="shared" si="71"/>
        <v>0</v>
      </c>
      <c r="AX97" s="80">
        <f t="shared" si="71"/>
        <v>0</v>
      </c>
      <c r="AY97" s="80">
        <f t="shared" si="71"/>
        <v>0</v>
      </c>
      <c r="AZ97" s="80">
        <f t="shared" si="71"/>
        <v>0</v>
      </c>
      <c r="BA97" s="80">
        <f t="shared" si="71"/>
        <v>0</v>
      </c>
      <c r="BB97" s="80">
        <f t="shared" si="71"/>
        <v>0</v>
      </c>
      <c r="BC97" s="80">
        <f t="shared" si="71"/>
        <v>0</v>
      </c>
      <c r="BE97" s="80">
        <f>SUMIF($H$3:$BD$3,BE$3,$H97:$BD97)</f>
        <v>0</v>
      </c>
      <c r="BF97" s="80">
        <f t="shared" ref="BF97:BH111" si="72">SUMIF($H$3:$BD$3,BF$3,$H97:$BD97)</f>
        <v>0</v>
      </c>
      <c r="BG97" s="80">
        <f t="shared" si="72"/>
        <v>0</v>
      </c>
      <c r="BH97" s="80">
        <f t="shared" si="72"/>
        <v>0</v>
      </c>
    </row>
    <row r="98" spans="2:60" ht="21" customHeight="1" x14ac:dyDescent="0.35">
      <c r="B98" s="60" t="str">
        <f>$B$10</f>
        <v>Call Management</v>
      </c>
      <c r="C98" s="48">
        <f>IF($C$10="","",$C$10)</f>
        <v>43678</v>
      </c>
      <c r="D98" s="48" t="str">
        <f t="shared" si="69"/>
        <v/>
      </c>
      <c r="E98" s="47">
        <f>IF(E$10="","",E$10)</f>
        <v>1</v>
      </c>
      <c r="F98" s="80"/>
      <c r="G98" s="76"/>
      <c r="H98" s="80">
        <f t="shared" si="70"/>
        <v>0</v>
      </c>
      <c r="I98" s="80">
        <f t="shared" si="70"/>
        <v>0</v>
      </c>
      <c r="J98" s="80">
        <f t="shared" si="70"/>
        <v>0</v>
      </c>
      <c r="K98" s="80">
        <f t="shared" si="70"/>
        <v>0</v>
      </c>
      <c r="L98" s="80">
        <f t="shared" si="70"/>
        <v>0</v>
      </c>
      <c r="M98" s="80">
        <f t="shared" si="70"/>
        <v>0</v>
      </c>
      <c r="N98" s="80">
        <f t="shared" si="70"/>
        <v>0</v>
      </c>
      <c r="O98" s="80">
        <f t="shared" si="70"/>
        <v>0</v>
      </c>
      <c r="P98" s="80">
        <f t="shared" si="70"/>
        <v>0</v>
      </c>
      <c r="Q98" s="80">
        <f t="shared" si="70"/>
        <v>0</v>
      </c>
      <c r="R98" s="80">
        <f t="shared" si="70"/>
        <v>0</v>
      </c>
      <c r="S98" s="80">
        <f t="shared" si="70"/>
        <v>0</v>
      </c>
      <c r="T98" s="80">
        <f t="shared" si="70"/>
        <v>0</v>
      </c>
      <c r="U98" s="80">
        <f t="shared" si="70"/>
        <v>0</v>
      </c>
      <c r="V98" s="80">
        <f t="shared" si="70"/>
        <v>0</v>
      </c>
      <c r="W98" s="80">
        <f t="shared" si="70"/>
        <v>0</v>
      </c>
      <c r="X98" s="80">
        <f t="shared" si="70"/>
        <v>0</v>
      </c>
      <c r="Y98" s="80">
        <f t="shared" si="70"/>
        <v>0</v>
      </c>
      <c r="Z98" s="80">
        <f t="shared" si="70"/>
        <v>0</v>
      </c>
      <c r="AA98" s="80">
        <f t="shared" si="70"/>
        <v>0</v>
      </c>
      <c r="AB98" s="80">
        <f t="shared" si="70"/>
        <v>0</v>
      </c>
      <c r="AC98" s="80">
        <f t="shared" si="70"/>
        <v>0</v>
      </c>
      <c r="AD98" s="80">
        <f t="shared" si="70"/>
        <v>0</v>
      </c>
      <c r="AE98" s="80">
        <f t="shared" si="70"/>
        <v>0</v>
      </c>
      <c r="AF98" s="80">
        <f t="shared" si="70"/>
        <v>0</v>
      </c>
      <c r="AG98" s="80">
        <f t="shared" si="70"/>
        <v>0</v>
      </c>
      <c r="AH98" s="80">
        <f t="shared" si="70"/>
        <v>0</v>
      </c>
      <c r="AI98" s="80">
        <f t="shared" si="70"/>
        <v>0</v>
      </c>
      <c r="AJ98" s="80">
        <f t="shared" si="70"/>
        <v>0</v>
      </c>
      <c r="AK98" s="80">
        <f t="shared" si="70"/>
        <v>0</v>
      </c>
      <c r="AL98" s="80">
        <f t="shared" si="70"/>
        <v>0</v>
      </c>
      <c r="AM98" s="80">
        <f t="shared" si="70"/>
        <v>0</v>
      </c>
      <c r="AN98" s="80">
        <f t="shared" si="70"/>
        <v>0</v>
      </c>
      <c r="AO98" s="80">
        <f t="shared" si="70"/>
        <v>0</v>
      </c>
      <c r="AP98" s="80">
        <f t="shared" si="70"/>
        <v>0</v>
      </c>
      <c r="AQ98" s="80">
        <f t="shared" si="70"/>
        <v>0</v>
      </c>
      <c r="AR98" s="80">
        <f t="shared" si="71"/>
        <v>0</v>
      </c>
      <c r="AS98" s="80">
        <f t="shared" si="71"/>
        <v>0</v>
      </c>
      <c r="AT98" s="80">
        <f t="shared" si="71"/>
        <v>0</v>
      </c>
      <c r="AU98" s="80">
        <f t="shared" si="71"/>
        <v>0</v>
      </c>
      <c r="AV98" s="80">
        <f t="shared" si="71"/>
        <v>0</v>
      </c>
      <c r="AW98" s="80">
        <f t="shared" si="71"/>
        <v>0</v>
      </c>
      <c r="AX98" s="80">
        <f t="shared" si="71"/>
        <v>0</v>
      </c>
      <c r="AY98" s="80">
        <f t="shared" si="71"/>
        <v>0</v>
      </c>
      <c r="AZ98" s="80">
        <f t="shared" si="71"/>
        <v>0</v>
      </c>
      <c r="BA98" s="80">
        <f t="shared" si="71"/>
        <v>0</v>
      </c>
      <c r="BB98" s="80">
        <f t="shared" si="71"/>
        <v>0</v>
      </c>
      <c r="BC98" s="80">
        <f t="shared" si="71"/>
        <v>0</v>
      </c>
      <c r="BE98" s="80">
        <f t="shared" ref="BE98:BE111" si="73">SUMIF($H$3:$BD$3,BE$3,$H98:$BD98)</f>
        <v>0</v>
      </c>
      <c r="BF98" s="80">
        <f t="shared" si="72"/>
        <v>0</v>
      </c>
      <c r="BG98" s="80">
        <f t="shared" si="72"/>
        <v>0</v>
      </c>
      <c r="BH98" s="80">
        <f t="shared" si="72"/>
        <v>0</v>
      </c>
    </row>
    <row r="99" spans="2:60" ht="21" customHeight="1" x14ac:dyDescent="0.35">
      <c r="B99" s="60" t="str">
        <f>$B$11</f>
        <v>GP triage</v>
      </c>
      <c r="C99" s="48">
        <f>IF($C$11="","",$C$11)</f>
        <v>43739</v>
      </c>
      <c r="D99" s="48" t="str">
        <f t="shared" si="69"/>
        <v/>
      </c>
      <c r="E99" s="47">
        <f>IF(E$11="","",E$11)</f>
        <v>3</v>
      </c>
      <c r="F99" s="80">
        <f>'GP Triage'!G49</f>
        <v>12285</v>
      </c>
      <c r="G99" s="76"/>
      <c r="H99" s="80">
        <f t="shared" si="70"/>
        <v>0</v>
      </c>
      <c r="I99" s="80">
        <f t="shared" si="70"/>
        <v>0</v>
      </c>
      <c r="J99" s="80">
        <f t="shared" si="70"/>
        <v>344.95923913043475</v>
      </c>
      <c r="K99" s="80">
        <f t="shared" si="70"/>
        <v>678.79076086956513</v>
      </c>
      <c r="L99" s="80">
        <f t="shared" si="70"/>
        <v>1023.75</v>
      </c>
      <c r="M99" s="80">
        <f t="shared" si="70"/>
        <v>1023.75</v>
      </c>
      <c r="N99" s="80">
        <f t="shared" si="70"/>
        <v>1023.75</v>
      </c>
      <c r="O99" s="80">
        <f t="shared" si="70"/>
        <v>1023.75</v>
      </c>
      <c r="P99" s="80">
        <f t="shared" si="70"/>
        <v>1023.75</v>
      </c>
      <c r="Q99" s="80">
        <f t="shared" si="70"/>
        <v>1023.75</v>
      </c>
      <c r="R99" s="80">
        <f t="shared" si="70"/>
        <v>1023.75</v>
      </c>
      <c r="S99" s="80">
        <f t="shared" si="70"/>
        <v>1023.75</v>
      </c>
      <c r="T99" s="80">
        <f t="shared" si="70"/>
        <v>1023.75</v>
      </c>
      <c r="U99" s="80">
        <f t="shared" si="70"/>
        <v>1023.75</v>
      </c>
      <c r="V99" s="80">
        <f t="shared" si="70"/>
        <v>1023.75</v>
      </c>
      <c r="W99" s="80">
        <f t="shared" si="70"/>
        <v>1023.75</v>
      </c>
      <c r="X99" s="80">
        <f t="shared" si="70"/>
        <v>1023.75</v>
      </c>
      <c r="Y99" s="80">
        <f t="shared" si="70"/>
        <v>1023.75</v>
      </c>
      <c r="Z99" s="80">
        <f t="shared" si="70"/>
        <v>1023.75</v>
      </c>
      <c r="AA99" s="80">
        <f t="shared" si="70"/>
        <v>1023.75</v>
      </c>
      <c r="AB99" s="80">
        <f t="shared" si="70"/>
        <v>1023.75</v>
      </c>
      <c r="AC99" s="80">
        <f t="shared" si="70"/>
        <v>1023.75</v>
      </c>
      <c r="AD99" s="80">
        <f t="shared" si="70"/>
        <v>1023.75</v>
      </c>
      <c r="AE99" s="80">
        <f t="shared" si="70"/>
        <v>1023.75</v>
      </c>
      <c r="AF99" s="80">
        <f t="shared" si="70"/>
        <v>1023.75</v>
      </c>
      <c r="AG99" s="80">
        <f t="shared" si="70"/>
        <v>1023.75</v>
      </c>
      <c r="AH99" s="80">
        <f t="shared" si="70"/>
        <v>1023.75</v>
      </c>
      <c r="AI99" s="80">
        <f t="shared" si="70"/>
        <v>1023.75</v>
      </c>
      <c r="AJ99" s="80">
        <f t="shared" si="70"/>
        <v>1023.75</v>
      </c>
      <c r="AK99" s="80">
        <f t="shared" si="70"/>
        <v>1023.75</v>
      </c>
      <c r="AL99" s="80">
        <f t="shared" si="70"/>
        <v>1023.75</v>
      </c>
      <c r="AM99" s="80">
        <f t="shared" si="70"/>
        <v>1023.75</v>
      </c>
      <c r="AN99" s="80">
        <f t="shared" si="70"/>
        <v>1023.75</v>
      </c>
      <c r="AO99" s="80">
        <f t="shared" si="70"/>
        <v>1023.75</v>
      </c>
      <c r="AP99" s="80">
        <f t="shared" si="70"/>
        <v>1023.75</v>
      </c>
      <c r="AQ99" s="80">
        <f t="shared" si="70"/>
        <v>1023.75</v>
      </c>
      <c r="AR99" s="80">
        <f t="shared" si="71"/>
        <v>1023.75</v>
      </c>
      <c r="AS99" s="80">
        <f t="shared" si="71"/>
        <v>1023.75</v>
      </c>
      <c r="AT99" s="80">
        <f t="shared" si="71"/>
        <v>1023.75</v>
      </c>
      <c r="AU99" s="80">
        <f t="shared" si="71"/>
        <v>1023.75</v>
      </c>
      <c r="AV99" s="80">
        <f t="shared" si="71"/>
        <v>1023.75</v>
      </c>
      <c r="AW99" s="80">
        <f t="shared" si="71"/>
        <v>1023.75</v>
      </c>
      <c r="AX99" s="80">
        <f t="shared" si="71"/>
        <v>1023.75</v>
      </c>
      <c r="AY99" s="80">
        <f t="shared" si="71"/>
        <v>1023.75</v>
      </c>
      <c r="AZ99" s="80">
        <f t="shared" si="71"/>
        <v>1023.75</v>
      </c>
      <c r="BA99" s="80">
        <f t="shared" si="71"/>
        <v>1023.75</v>
      </c>
      <c r="BB99" s="80">
        <f t="shared" si="71"/>
        <v>1023.75</v>
      </c>
      <c r="BC99" s="80">
        <f t="shared" si="71"/>
        <v>1023.75</v>
      </c>
      <c r="BD99" s="61"/>
      <c r="BE99" s="80">
        <f t="shared" si="73"/>
        <v>9213.75</v>
      </c>
      <c r="BF99" s="80">
        <f t="shared" si="72"/>
        <v>12285</v>
      </c>
      <c r="BG99" s="80">
        <f t="shared" si="72"/>
        <v>12285</v>
      </c>
      <c r="BH99" s="80">
        <f t="shared" si="72"/>
        <v>12285</v>
      </c>
    </row>
    <row r="100" spans="2:60" ht="21" customHeight="1" x14ac:dyDescent="0.35">
      <c r="B100" s="60" t="str">
        <f>$B$12</f>
        <v>YOC</v>
      </c>
      <c r="C100" s="48">
        <f>IF($C$12="","",$C$12)</f>
        <v>43862</v>
      </c>
      <c r="D100" s="48" t="str">
        <f t="shared" si="69"/>
        <v/>
      </c>
      <c r="E100" s="47">
        <f>IF(E$12="","",E$12)</f>
        <v>36</v>
      </c>
      <c r="F100" s="80">
        <f>IF(YOC_Include="Yes",YOC!D53,0)</f>
        <v>107500</v>
      </c>
      <c r="G100" s="76"/>
      <c r="H100" s="80">
        <f t="shared" si="70"/>
        <v>0</v>
      </c>
      <c r="I100" s="80">
        <f t="shared" si="70"/>
        <v>0</v>
      </c>
      <c r="J100" s="80">
        <f t="shared" si="70"/>
        <v>0</v>
      </c>
      <c r="K100" s="80">
        <f t="shared" si="70"/>
        <v>0</v>
      </c>
      <c r="L100" s="80">
        <f t="shared" si="70"/>
        <v>0</v>
      </c>
      <c r="M100" s="80">
        <f t="shared" si="70"/>
        <v>0</v>
      </c>
      <c r="N100" s="80">
        <f t="shared" si="70"/>
        <v>237.03619221411191</v>
      </c>
      <c r="O100" s="80">
        <f t="shared" si="70"/>
        <v>490.41970802919712</v>
      </c>
      <c r="P100" s="80">
        <f t="shared" si="70"/>
        <v>735.62956204379554</v>
      </c>
      <c r="Q100" s="80">
        <f t="shared" si="70"/>
        <v>989.01307785888082</v>
      </c>
      <c r="R100" s="80">
        <f t="shared" si="70"/>
        <v>1234.2229318734794</v>
      </c>
      <c r="S100" s="80">
        <f t="shared" si="70"/>
        <v>1487.6064476885642</v>
      </c>
      <c r="T100" s="80">
        <f t="shared" si="70"/>
        <v>1740.9899635036497</v>
      </c>
      <c r="U100" s="80">
        <f t="shared" si="70"/>
        <v>1986.199817518248</v>
      </c>
      <c r="V100" s="80">
        <f t="shared" si="70"/>
        <v>2239.5833333333335</v>
      </c>
      <c r="W100" s="80">
        <f t="shared" si="70"/>
        <v>2484.793187347932</v>
      </c>
      <c r="X100" s="80">
        <f t="shared" si="70"/>
        <v>2738.176703163017</v>
      </c>
      <c r="Y100" s="80">
        <f t="shared" si="70"/>
        <v>2991.5602189781021</v>
      </c>
      <c r="Z100" s="80">
        <f t="shared" si="70"/>
        <v>3220.4227493917274</v>
      </c>
      <c r="AA100" s="80">
        <f t="shared" si="70"/>
        <v>3473.8062652068129</v>
      </c>
      <c r="AB100" s="80">
        <f t="shared" si="70"/>
        <v>3719.0161192214114</v>
      </c>
      <c r="AC100" s="80">
        <f t="shared" si="70"/>
        <v>3972.399635036496</v>
      </c>
      <c r="AD100" s="80">
        <f t="shared" si="70"/>
        <v>4217.6094890510949</v>
      </c>
      <c r="AE100" s="80">
        <f t="shared" si="70"/>
        <v>4470.9930048661799</v>
      </c>
      <c r="AF100" s="80">
        <f t="shared" si="70"/>
        <v>4724.376520681265</v>
      </c>
      <c r="AG100" s="80">
        <f t="shared" si="70"/>
        <v>4969.5863746958639</v>
      </c>
      <c r="AH100" s="80">
        <f t="shared" si="70"/>
        <v>5222.969890510949</v>
      </c>
      <c r="AI100" s="80">
        <f t="shared" si="70"/>
        <v>5468.1797445255479</v>
      </c>
      <c r="AJ100" s="80">
        <f t="shared" si="70"/>
        <v>5721.563260340633</v>
      </c>
      <c r="AK100" s="80">
        <f t="shared" si="70"/>
        <v>5974.9467761557171</v>
      </c>
      <c r="AL100" s="80">
        <f t="shared" si="70"/>
        <v>6203.8093065693429</v>
      </c>
      <c r="AM100" s="80">
        <f t="shared" si="70"/>
        <v>6457.1928223844288</v>
      </c>
      <c r="AN100" s="80">
        <f t="shared" si="70"/>
        <v>6702.4026763990269</v>
      </c>
      <c r="AO100" s="80">
        <f t="shared" si="70"/>
        <v>6955.7861922141119</v>
      </c>
      <c r="AP100" s="80">
        <f t="shared" si="70"/>
        <v>7200.9960462287099</v>
      </c>
      <c r="AQ100" s="80">
        <f t="shared" si="70"/>
        <v>7454.3795620437959</v>
      </c>
      <c r="AR100" s="80">
        <f t="shared" si="71"/>
        <v>7707.7630778588818</v>
      </c>
      <c r="AS100" s="80">
        <f t="shared" si="71"/>
        <v>7952.972931873479</v>
      </c>
      <c r="AT100" s="80">
        <f t="shared" si="71"/>
        <v>8206.356447688564</v>
      </c>
      <c r="AU100" s="80">
        <f t="shared" si="71"/>
        <v>8451.5663017031638</v>
      </c>
      <c r="AV100" s="80">
        <f t="shared" si="71"/>
        <v>8704.9498175182471</v>
      </c>
      <c r="AW100" s="80">
        <f t="shared" si="71"/>
        <v>8958.3333333333339</v>
      </c>
      <c r="AX100" s="80">
        <f t="shared" si="71"/>
        <v>8958.3333333333339</v>
      </c>
      <c r="AY100" s="80">
        <f t="shared" si="71"/>
        <v>8958.3333333333339</v>
      </c>
      <c r="AZ100" s="80">
        <f t="shared" si="71"/>
        <v>8958.3333333333339</v>
      </c>
      <c r="BA100" s="80">
        <f t="shared" si="71"/>
        <v>8958.3333333333339</v>
      </c>
      <c r="BB100" s="80">
        <f t="shared" si="71"/>
        <v>8958.3333333333339</v>
      </c>
      <c r="BC100" s="80">
        <f t="shared" si="71"/>
        <v>8958.3333333333339</v>
      </c>
      <c r="BD100" s="61"/>
      <c r="BE100" s="80">
        <f t="shared" si="73"/>
        <v>5173.9279197080295</v>
      </c>
      <c r="BF100" s="80">
        <f t="shared" si="72"/>
        <v>37255.550486617998</v>
      </c>
      <c r="BG100" s="80">
        <f t="shared" si="72"/>
        <v>73056.189172749378</v>
      </c>
      <c r="BH100" s="80">
        <f t="shared" si="72"/>
        <v>103731.94190997565</v>
      </c>
    </row>
    <row r="101" spans="2:60" ht="21" customHeight="1" x14ac:dyDescent="0.35">
      <c r="B101" s="60" t="str">
        <f>$B$13</f>
        <v>Extended hours</v>
      </c>
      <c r="C101" s="48">
        <f>IF($C$13="","",$C$13)</f>
        <v>44013</v>
      </c>
      <c r="D101" s="48" t="str">
        <f t="shared" si="69"/>
        <v/>
      </c>
      <c r="E101" s="47">
        <f>IF(E$13="","",E$13)</f>
        <v>1</v>
      </c>
      <c r="F101" s="80"/>
      <c r="G101" s="76"/>
      <c r="H101" s="80">
        <f t="shared" si="70"/>
        <v>0</v>
      </c>
      <c r="I101" s="80">
        <f t="shared" si="70"/>
        <v>0</v>
      </c>
      <c r="J101" s="80">
        <f t="shared" si="70"/>
        <v>0</v>
      </c>
      <c r="K101" s="80">
        <f t="shared" si="70"/>
        <v>0</v>
      </c>
      <c r="L101" s="80">
        <f t="shared" si="70"/>
        <v>0</v>
      </c>
      <c r="M101" s="80">
        <f t="shared" si="70"/>
        <v>0</v>
      </c>
      <c r="N101" s="80">
        <f t="shared" si="70"/>
        <v>0</v>
      </c>
      <c r="O101" s="80">
        <f t="shared" si="70"/>
        <v>0</v>
      </c>
      <c r="P101" s="80">
        <f t="shared" si="70"/>
        <v>0</v>
      </c>
      <c r="Q101" s="80">
        <f t="shared" si="70"/>
        <v>0</v>
      </c>
      <c r="R101" s="80">
        <f t="shared" si="70"/>
        <v>0</v>
      </c>
      <c r="S101" s="80">
        <f t="shared" si="70"/>
        <v>0</v>
      </c>
      <c r="T101" s="80">
        <f t="shared" si="70"/>
        <v>0</v>
      </c>
      <c r="U101" s="80">
        <f t="shared" si="70"/>
        <v>0</v>
      </c>
      <c r="V101" s="80">
        <f t="shared" si="70"/>
        <v>0</v>
      </c>
      <c r="W101" s="80">
        <f t="shared" si="70"/>
        <v>0</v>
      </c>
      <c r="X101" s="80">
        <f t="shared" si="70"/>
        <v>0</v>
      </c>
      <c r="Y101" s="80">
        <f t="shared" si="70"/>
        <v>0</v>
      </c>
      <c r="Z101" s="80">
        <f t="shared" si="70"/>
        <v>0</v>
      </c>
      <c r="AA101" s="80">
        <f t="shared" si="70"/>
        <v>0</v>
      </c>
      <c r="AB101" s="80">
        <f t="shared" si="70"/>
        <v>0</v>
      </c>
      <c r="AC101" s="80">
        <f t="shared" si="70"/>
        <v>0</v>
      </c>
      <c r="AD101" s="80">
        <f t="shared" si="70"/>
        <v>0</v>
      </c>
      <c r="AE101" s="80">
        <f t="shared" si="70"/>
        <v>0</v>
      </c>
      <c r="AF101" s="80">
        <f t="shared" si="70"/>
        <v>0</v>
      </c>
      <c r="AG101" s="80">
        <f t="shared" si="70"/>
        <v>0</v>
      </c>
      <c r="AH101" s="80">
        <f t="shared" si="70"/>
        <v>0</v>
      </c>
      <c r="AI101" s="80">
        <f t="shared" si="70"/>
        <v>0</v>
      </c>
      <c r="AJ101" s="80">
        <f t="shared" si="70"/>
        <v>0</v>
      </c>
      <c r="AK101" s="80">
        <f t="shared" si="70"/>
        <v>0</v>
      </c>
      <c r="AL101" s="80">
        <f t="shared" si="70"/>
        <v>0</v>
      </c>
      <c r="AM101" s="80">
        <f t="shared" si="70"/>
        <v>0</v>
      </c>
      <c r="AN101" s="80">
        <f t="shared" si="70"/>
        <v>0</v>
      </c>
      <c r="AO101" s="80">
        <f t="shared" si="70"/>
        <v>0</v>
      </c>
      <c r="AP101" s="80">
        <f t="shared" si="70"/>
        <v>0</v>
      </c>
      <c r="AQ101" s="80">
        <f t="shared" si="70"/>
        <v>0</v>
      </c>
      <c r="AR101" s="80">
        <f t="shared" si="71"/>
        <v>0</v>
      </c>
      <c r="AS101" s="80">
        <f t="shared" si="71"/>
        <v>0</v>
      </c>
      <c r="AT101" s="80">
        <f t="shared" si="71"/>
        <v>0</v>
      </c>
      <c r="AU101" s="80">
        <f t="shared" si="71"/>
        <v>0</v>
      </c>
      <c r="AV101" s="80">
        <f t="shared" si="71"/>
        <v>0</v>
      </c>
      <c r="AW101" s="80">
        <f t="shared" si="71"/>
        <v>0</v>
      </c>
      <c r="AX101" s="80">
        <f t="shared" si="71"/>
        <v>0</v>
      </c>
      <c r="AY101" s="80">
        <f t="shared" si="71"/>
        <v>0</v>
      </c>
      <c r="AZ101" s="80">
        <f t="shared" si="71"/>
        <v>0</v>
      </c>
      <c r="BA101" s="80">
        <f t="shared" si="71"/>
        <v>0</v>
      </c>
      <c r="BB101" s="80">
        <f t="shared" si="71"/>
        <v>0</v>
      </c>
      <c r="BC101" s="80">
        <f t="shared" si="71"/>
        <v>0</v>
      </c>
      <c r="BD101" s="61"/>
      <c r="BE101" s="80">
        <f t="shared" si="73"/>
        <v>0</v>
      </c>
      <c r="BF101" s="80">
        <f t="shared" si="72"/>
        <v>0</v>
      </c>
      <c r="BG101" s="80">
        <f t="shared" si="72"/>
        <v>0</v>
      </c>
      <c r="BH101" s="80">
        <f t="shared" si="72"/>
        <v>0</v>
      </c>
    </row>
    <row r="102" spans="2:60" ht="21" customHeight="1" x14ac:dyDescent="0.35">
      <c r="B102" s="60" t="str">
        <f>$B$14</f>
        <v>Patient Centered Appointments</v>
      </c>
      <c r="C102" s="48" t="str">
        <f>IF($C$14="","",$C$14)</f>
        <v/>
      </c>
      <c r="D102" s="48" t="str">
        <f t="shared" si="69"/>
        <v/>
      </c>
      <c r="E102" s="47" t="str">
        <f>IF(E$14="","",E$14)</f>
        <v/>
      </c>
      <c r="F102" s="80"/>
      <c r="G102" s="76"/>
      <c r="H102" s="80">
        <f t="shared" si="70"/>
        <v>0</v>
      </c>
      <c r="I102" s="80">
        <f t="shared" si="70"/>
        <v>0</v>
      </c>
      <c r="J102" s="80">
        <f t="shared" si="70"/>
        <v>0</v>
      </c>
      <c r="K102" s="80">
        <f t="shared" si="70"/>
        <v>0</v>
      </c>
      <c r="L102" s="80">
        <f t="shared" si="70"/>
        <v>0</v>
      </c>
      <c r="M102" s="80">
        <f t="shared" si="70"/>
        <v>0</v>
      </c>
      <c r="N102" s="80">
        <f t="shared" si="70"/>
        <v>0</v>
      </c>
      <c r="O102" s="80">
        <f t="shared" si="70"/>
        <v>0</v>
      </c>
      <c r="P102" s="80">
        <f t="shared" si="70"/>
        <v>0</v>
      </c>
      <c r="Q102" s="80">
        <f t="shared" si="70"/>
        <v>0</v>
      </c>
      <c r="R102" s="80">
        <f t="shared" si="70"/>
        <v>0</v>
      </c>
      <c r="S102" s="80">
        <f t="shared" si="70"/>
        <v>0</v>
      </c>
      <c r="T102" s="80">
        <f t="shared" si="70"/>
        <v>0</v>
      </c>
      <c r="U102" s="80">
        <f t="shared" si="70"/>
        <v>0</v>
      </c>
      <c r="V102" s="80">
        <f t="shared" si="70"/>
        <v>0</v>
      </c>
      <c r="W102" s="80">
        <f t="shared" si="70"/>
        <v>0</v>
      </c>
      <c r="X102" s="80">
        <f t="shared" si="70"/>
        <v>0</v>
      </c>
      <c r="Y102" s="80">
        <f t="shared" si="70"/>
        <v>0</v>
      </c>
      <c r="Z102" s="80">
        <f t="shared" si="70"/>
        <v>0</v>
      </c>
      <c r="AA102" s="80">
        <f t="shared" si="70"/>
        <v>0</v>
      </c>
      <c r="AB102" s="80">
        <f t="shared" si="70"/>
        <v>0</v>
      </c>
      <c r="AC102" s="80">
        <f t="shared" si="70"/>
        <v>0</v>
      </c>
      <c r="AD102" s="80">
        <f t="shared" si="70"/>
        <v>0</v>
      </c>
      <c r="AE102" s="80">
        <f t="shared" si="70"/>
        <v>0</v>
      </c>
      <c r="AF102" s="80">
        <f t="shared" si="70"/>
        <v>0</v>
      </c>
      <c r="AG102" s="80">
        <f t="shared" si="70"/>
        <v>0</v>
      </c>
      <c r="AH102" s="80">
        <f t="shared" si="70"/>
        <v>0</v>
      </c>
      <c r="AI102" s="80">
        <f t="shared" si="70"/>
        <v>0</v>
      </c>
      <c r="AJ102" s="80">
        <f t="shared" si="70"/>
        <v>0</v>
      </c>
      <c r="AK102" s="80">
        <f t="shared" si="70"/>
        <v>0</v>
      </c>
      <c r="AL102" s="80">
        <f t="shared" si="70"/>
        <v>0</v>
      </c>
      <c r="AM102" s="80">
        <f t="shared" si="70"/>
        <v>0</v>
      </c>
      <c r="AN102" s="80">
        <f t="shared" si="70"/>
        <v>0</v>
      </c>
      <c r="AO102" s="80">
        <f t="shared" si="70"/>
        <v>0</v>
      </c>
      <c r="AP102" s="80">
        <f t="shared" si="70"/>
        <v>0</v>
      </c>
      <c r="AQ102" s="80">
        <f t="shared" si="70"/>
        <v>0</v>
      </c>
      <c r="AR102" s="80">
        <f t="shared" si="71"/>
        <v>0</v>
      </c>
      <c r="AS102" s="80">
        <f t="shared" si="71"/>
        <v>0</v>
      </c>
      <c r="AT102" s="80">
        <f t="shared" si="71"/>
        <v>0</v>
      </c>
      <c r="AU102" s="80">
        <f t="shared" si="71"/>
        <v>0</v>
      </c>
      <c r="AV102" s="80">
        <f t="shared" si="71"/>
        <v>0</v>
      </c>
      <c r="AW102" s="80">
        <f t="shared" si="71"/>
        <v>0</v>
      </c>
      <c r="AX102" s="80">
        <f t="shared" si="71"/>
        <v>0</v>
      </c>
      <c r="AY102" s="80">
        <f t="shared" si="71"/>
        <v>0</v>
      </c>
      <c r="AZ102" s="80">
        <f t="shared" si="71"/>
        <v>0</v>
      </c>
      <c r="BA102" s="80">
        <f t="shared" si="71"/>
        <v>0</v>
      </c>
      <c r="BB102" s="80">
        <f t="shared" si="71"/>
        <v>0</v>
      </c>
      <c r="BC102" s="80">
        <f t="shared" si="71"/>
        <v>0</v>
      </c>
      <c r="BD102" s="61"/>
      <c r="BE102" s="80">
        <f t="shared" si="73"/>
        <v>0</v>
      </c>
      <c r="BF102" s="80">
        <f t="shared" si="72"/>
        <v>0</v>
      </c>
      <c r="BG102" s="80">
        <f t="shared" si="72"/>
        <v>0</v>
      </c>
      <c r="BH102" s="80">
        <f t="shared" si="72"/>
        <v>0</v>
      </c>
    </row>
    <row r="103" spans="2:60" ht="21" customHeight="1" x14ac:dyDescent="0.35">
      <c r="B103" s="60" t="str">
        <f>$B$15</f>
        <v>Clinical and administrative pre work</v>
      </c>
      <c r="C103" s="48" t="str">
        <f>IF($C$15="","",$C$15)</f>
        <v/>
      </c>
      <c r="D103" s="48" t="str">
        <f t="shared" si="69"/>
        <v/>
      </c>
      <c r="E103" s="47" t="str">
        <f>IF(E$15="","",E$15)</f>
        <v/>
      </c>
      <c r="F103" s="80"/>
      <c r="G103" s="76"/>
      <c r="H103" s="80">
        <f t="shared" si="70"/>
        <v>0</v>
      </c>
      <c r="I103" s="80">
        <f t="shared" si="70"/>
        <v>0</v>
      </c>
      <c r="J103" s="80">
        <f t="shared" si="70"/>
        <v>0</v>
      </c>
      <c r="K103" s="80">
        <f t="shared" si="70"/>
        <v>0</v>
      </c>
      <c r="L103" s="80">
        <f t="shared" si="70"/>
        <v>0</v>
      </c>
      <c r="M103" s="80">
        <f t="shared" si="70"/>
        <v>0</v>
      </c>
      <c r="N103" s="80">
        <f t="shared" si="70"/>
        <v>0</v>
      </c>
      <c r="O103" s="80">
        <f t="shared" si="70"/>
        <v>0</v>
      </c>
      <c r="P103" s="80">
        <f t="shared" si="70"/>
        <v>0</v>
      </c>
      <c r="Q103" s="80">
        <f t="shared" si="70"/>
        <v>0</v>
      </c>
      <c r="R103" s="80">
        <f t="shared" si="70"/>
        <v>0</v>
      </c>
      <c r="S103" s="80">
        <f t="shared" si="70"/>
        <v>0</v>
      </c>
      <c r="T103" s="80">
        <f t="shared" si="70"/>
        <v>0</v>
      </c>
      <c r="U103" s="80">
        <f t="shared" si="70"/>
        <v>0</v>
      </c>
      <c r="V103" s="80">
        <f t="shared" si="70"/>
        <v>0</v>
      </c>
      <c r="W103" s="80">
        <f t="shared" si="70"/>
        <v>0</v>
      </c>
      <c r="X103" s="80">
        <f t="shared" si="70"/>
        <v>0</v>
      </c>
      <c r="Y103" s="80">
        <f t="shared" si="70"/>
        <v>0</v>
      </c>
      <c r="Z103" s="80">
        <f t="shared" si="70"/>
        <v>0</v>
      </c>
      <c r="AA103" s="80">
        <f t="shared" si="70"/>
        <v>0</v>
      </c>
      <c r="AB103" s="80">
        <f t="shared" si="70"/>
        <v>0</v>
      </c>
      <c r="AC103" s="80">
        <f t="shared" si="70"/>
        <v>0</v>
      </c>
      <c r="AD103" s="80">
        <f t="shared" si="70"/>
        <v>0</v>
      </c>
      <c r="AE103" s="80">
        <f t="shared" si="70"/>
        <v>0</v>
      </c>
      <c r="AF103" s="80">
        <f t="shared" si="70"/>
        <v>0</v>
      </c>
      <c r="AG103" s="80">
        <f t="shared" si="70"/>
        <v>0</v>
      </c>
      <c r="AH103" s="80">
        <f t="shared" si="70"/>
        <v>0</v>
      </c>
      <c r="AI103" s="80">
        <f t="shared" si="70"/>
        <v>0</v>
      </c>
      <c r="AJ103" s="80">
        <f t="shared" si="70"/>
        <v>0</v>
      </c>
      <c r="AK103" s="80">
        <f t="shared" si="70"/>
        <v>0</v>
      </c>
      <c r="AL103" s="80">
        <f t="shared" si="70"/>
        <v>0</v>
      </c>
      <c r="AM103" s="80">
        <f t="shared" si="70"/>
        <v>0</v>
      </c>
      <c r="AN103" s="80">
        <f t="shared" si="70"/>
        <v>0</v>
      </c>
      <c r="AO103" s="80">
        <f t="shared" si="70"/>
        <v>0</v>
      </c>
      <c r="AP103" s="80">
        <f t="shared" si="70"/>
        <v>0</v>
      </c>
      <c r="AQ103" s="80">
        <f t="shared" si="70"/>
        <v>0</v>
      </c>
      <c r="AR103" s="80">
        <f t="shared" si="71"/>
        <v>0</v>
      </c>
      <c r="AS103" s="80">
        <f t="shared" si="71"/>
        <v>0</v>
      </c>
      <c r="AT103" s="80">
        <f t="shared" si="71"/>
        <v>0</v>
      </c>
      <c r="AU103" s="80">
        <f t="shared" si="71"/>
        <v>0</v>
      </c>
      <c r="AV103" s="80">
        <f t="shared" si="71"/>
        <v>0</v>
      </c>
      <c r="AW103" s="80">
        <f t="shared" si="71"/>
        <v>0</v>
      </c>
      <c r="AX103" s="80">
        <f t="shared" si="71"/>
        <v>0</v>
      </c>
      <c r="AY103" s="80">
        <f t="shared" si="71"/>
        <v>0</v>
      </c>
      <c r="AZ103" s="80">
        <f t="shared" si="71"/>
        <v>0</v>
      </c>
      <c r="BA103" s="80">
        <f t="shared" si="71"/>
        <v>0</v>
      </c>
      <c r="BB103" s="80">
        <f t="shared" si="71"/>
        <v>0</v>
      </c>
      <c r="BC103" s="80">
        <f t="shared" si="71"/>
        <v>0</v>
      </c>
      <c r="BD103" s="61"/>
      <c r="BE103" s="80">
        <f t="shared" si="73"/>
        <v>0</v>
      </c>
      <c r="BF103" s="80">
        <f t="shared" si="72"/>
        <v>0</v>
      </c>
      <c r="BG103" s="80">
        <f t="shared" si="72"/>
        <v>0</v>
      </c>
      <c r="BH103" s="80">
        <f t="shared" si="72"/>
        <v>0</v>
      </c>
    </row>
    <row r="104" spans="2:60" ht="21" customHeight="1" x14ac:dyDescent="0.35">
      <c r="B104" s="60" t="str">
        <f>$B$16</f>
        <v>Multi-discliplinary Team Meetings</v>
      </c>
      <c r="C104" s="48">
        <f>IF($C$16="","",$C$16)</f>
        <v>43862</v>
      </c>
      <c r="D104" s="48" t="str">
        <f t="shared" si="69"/>
        <v/>
      </c>
      <c r="E104" s="47">
        <f>IF(E$16="","",E$16)</f>
        <v>6</v>
      </c>
      <c r="F104" s="80">
        <f>MDT!C30</f>
        <v>4464</v>
      </c>
      <c r="G104" s="76"/>
      <c r="H104" s="80">
        <f t="shared" si="70"/>
        <v>0</v>
      </c>
      <c r="I104" s="80">
        <f t="shared" si="70"/>
        <v>0</v>
      </c>
      <c r="J104" s="80">
        <f t="shared" si="70"/>
        <v>0</v>
      </c>
      <c r="K104" s="80">
        <f t="shared" ref="H104:AQ111" si="74">IFERROR(MIN(1,MAX(0,(EOMONTH(K$4,0)+1-$C104)/(EDATE($C104,$E104)-$C104)))*$F104/12+IF(K$3=1,$G104/12,0),0)</f>
        <v>0</v>
      </c>
      <c r="L104" s="80">
        <f t="shared" si="74"/>
        <v>0</v>
      </c>
      <c r="M104" s="80">
        <f t="shared" si="74"/>
        <v>0</v>
      </c>
      <c r="N104" s="80">
        <f t="shared" si="74"/>
        <v>59.274725274725277</v>
      </c>
      <c r="O104" s="80">
        <f t="shared" si="74"/>
        <v>122.63736263736263</v>
      </c>
      <c r="P104" s="80">
        <f t="shared" si="74"/>
        <v>183.95604395604394</v>
      </c>
      <c r="Q104" s="80">
        <f t="shared" si="74"/>
        <v>247.31868131868131</v>
      </c>
      <c r="R104" s="80">
        <f t="shared" si="74"/>
        <v>308.63736263736263</v>
      </c>
      <c r="S104" s="80">
        <f t="shared" si="74"/>
        <v>372</v>
      </c>
      <c r="T104" s="80">
        <f t="shared" si="74"/>
        <v>372</v>
      </c>
      <c r="U104" s="80">
        <f t="shared" si="74"/>
        <v>372</v>
      </c>
      <c r="V104" s="80">
        <f t="shared" si="74"/>
        <v>372</v>
      </c>
      <c r="W104" s="80">
        <f t="shared" si="74"/>
        <v>372</v>
      </c>
      <c r="X104" s="80">
        <f t="shared" si="74"/>
        <v>372</v>
      </c>
      <c r="Y104" s="80">
        <f t="shared" si="74"/>
        <v>372</v>
      </c>
      <c r="Z104" s="80">
        <f t="shared" si="74"/>
        <v>372</v>
      </c>
      <c r="AA104" s="80">
        <f t="shared" si="74"/>
        <v>372</v>
      </c>
      <c r="AB104" s="80">
        <f t="shared" si="74"/>
        <v>372</v>
      </c>
      <c r="AC104" s="80">
        <f t="shared" si="74"/>
        <v>372</v>
      </c>
      <c r="AD104" s="80">
        <f t="shared" si="74"/>
        <v>372</v>
      </c>
      <c r="AE104" s="80">
        <f t="shared" si="74"/>
        <v>372</v>
      </c>
      <c r="AF104" s="80">
        <f t="shared" si="74"/>
        <v>372</v>
      </c>
      <c r="AG104" s="80">
        <f t="shared" si="74"/>
        <v>372</v>
      </c>
      <c r="AH104" s="80">
        <f t="shared" si="74"/>
        <v>372</v>
      </c>
      <c r="AI104" s="80">
        <f t="shared" si="74"/>
        <v>372</v>
      </c>
      <c r="AJ104" s="80">
        <f t="shared" si="74"/>
        <v>372</v>
      </c>
      <c r="AK104" s="80">
        <f t="shared" si="74"/>
        <v>372</v>
      </c>
      <c r="AL104" s="80">
        <f t="shared" si="74"/>
        <v>372</v>
      </c>
      <c r="AM104" s="80">
        <f t="shared" si="74"/>
        <v>372</v>
      </c>
      <c r="AN104" s="80">
        <f t="shared" si="74"/>
        <v>372</v>
      </c>
      <c r="AO104" s="80">
        <f t="shared" si="74"/>
        <v>372</v>
      </c>
      <c r="AP104" s="80">
        <f t="shared" si="74"/>
        <v>372</v>
      </c>
      <c r="AQ104" s="80">
        <f t="shared" si="74"/>
        <v>372</v>
      </c>
      <c r="AR104" s="80">
        <f t="shared" si="71"/>
        <v>372</v>
      </c>
      <c r="AS104" s="80">
        <f t="shared" si="71"/>
        <v>372</v>
      </c>
      <c r="AT104" s="80">
        <f t="shared" si="71"/>
        <v>372</v>
      </c>
      <c r="AU104" s="80">
        <f t="shared" si="71"/>
        <v>372</v>
      </c>
      <c r="AV104" s="80">
        <f t="shared" si="71"/>
        <v>372</v>
      </c>
      <c r="AW104" s="80">
        <f t="shared" si="71"/>
        <v>372</v>
      </c>
      <c r="AX104" s="80">
        <f t="shared" si="71"/>
        <v>372</v>
      </c>
      <c r="AY104" s="80">
        <f t="shared" si="71"/>
        <v>372</v>
      </c>
      <c r="AZ104" s="80">
        <f t="shared" si="71"/>
        <v>372</v>
      </c>
      <c r="BA104" s="80">
        <f t="shared" si="71"/>
        <v>372</v>
      </c>
      <c r="BB104" s="80">
        <f t="shared" si="71"/>
        <v>372</v>
      </c>
      <c r="BC104" s="80">
        <f t="shared" si="71"/>
        <v>372</v>
      </c>
      <c r="BD104" s="61"/>
      <c r="BE104" s="80">
        <f t="shared" si="73"/>
        <v>1293.8241758241759</v>
      </c>
      <c r="BF104" s="80">
        <f t="shared" si="72"/>
        <v>4464</v>
      </c>
      <c r="BG104" s="80">
        <f t="shared" si="72"/>
        <v>4464</v>
      </c>
      <c r="BH104" s="80">
        <f t="shared" si="72"/>
        <v>4464</v>
      </c>
    </row>
    <row r="105" spans="2:60" ht="21" customHeight="1" x14ac:dyDescent="0.35">
      <c r="B105" s="60" t="str">
        <f>$B$17</f>
        <v>Huddles</v>
      </c>
      <c r="C105" s="48">
        <f>IF($C$17="","",$C$17)</f>
        <v>43678</v>
      </c>
      <c r="D105" s="48" t="str">
        <f t="shared" si="69"/>
        <v/>
      </c>
      <c r="E105" s="47">
        <f>IF(E$17="","",E$17)</f>
        <v>1</v>
      </c>
      <c r="F105" s="80">
        <f>Huddles!C25</f>
        <v>19344.000000000004</v>
      </c>
      <c r="G105" s="76"/>
      <c r="H105" s="80">
        <f t="shared" si="74"/>
        <v>1612.0000000000002</v>
      </c>
      <c r="I105" s="80">
        <f t="shared" si="74"/>
        <v>1612.0000000000002</v>
      </c>
      <c r="J105" s="80">
        <f t="shared" si="74"/>
        <v>1612.0000000000002</v>
      </c>
      <c r="K105" s="80">
        <f t="shared" si="74"/>
        <v>1612.0000000000002</v>
      </c>
      <c r="L105" s="80">
        <f t="shared" si="74"/>
        <v>1612.0000000000002</v>
      </c>
      <c r="M105" s="80">
        <f t="shared" si="74"/>
        <v>1612.0000000000002</v>
      </c>
      <c r="N105" s="80">
        <f t="shared" si="74"/>
        <v>1612.0000000000002</v>
      </c>
      <c r="O105" s="80">
        <f t="shared" si="74"/>
        <v>1612.0000000000002</v>
      </c>
      <c r="P105" s="80">
        <f t="shared" si="74"/>
        <v>1612.0000000000002</v>
      </c>
      <c r="Q105" s="80">
        <f t="shared" si="74"/>
        <v>1612.0000000000002</v>
      </c>
      <c r="R105" s="80">
        <f t="shared" si="74"/>
        <v>1612.0000000000002</v>
      </c>
      <c r="S105" s="80">
        <f t="shared" si="74"/>
        <v>1612.0000000000002</v>
      </c>
      <c r="T105" s="80">
        <f t="shared" si="74"/>
        <v>1612.0000000000002</v>
      </c>
      <c r="U105" s="80">
        <f t="shared" si="74"/>
        <v>1612.0000000000002</v>
      </c>
      <c r="V105" s="80">
        <f t="shared" si="74"/>
        <v>1612.0000000000002</v>
      </c>
      <c r="W105" s="80">
        <f t="shared" si="74"/>
        <v>1612.0000000000002</v>
      </c>
      <c r="X105" s="80">
        <f t="shared" si="74"/>
        <v>1612.0000000000002</v>
      </c>
      <c r="Y105" s="80">
        <f t="shared" si="74"/>
        <v>1612.0000000000002</v>
      </c>
      <c r="Z105" s="80">
        <f t="shared" si="74"/>
        <v>1612.0000000000002</v>
      </c>
      <c r="AA105" s="80">
        <f t="shared" si="74"/>
        <v>1612.0000000000002</v>
      </c>
      <c r="AB105" s="80">
        <f t="shared" si="74"/>
        <v>1612.0000000000002</v>
      </c>
      <c r="AC105" s="80">
        <f t="shared" si="74"/>
        <v>1612.0000000000002</v>
      </c>
      <c r="AD105" s="80">
        <f t="shared" si="74"/>
        <v>1612.0000000000002</v>
      </c>
      <c r="AE105" s="80">
        <f t="shared" si="74"/>
        <v>1612.0000000000002</v>
      </c>
      <c r="AF105" s="80">
        <f t="shared" si="74"/>
        <v>1612.0000000000002</v>
      </c>
      <c r="AG105" s="80">
        <f t="shared" si="74"/>
        <v>1612.0000000000002</v>
      </c>
      <c r="AH105" s="80">
        <f t="shared" si="74"/>
        <v>1612.0000000000002</v>
      </c>
      <c r="AI105" s="80">
        <f t="shared" si="74"/>
        <v>1612.0000000000002</v>
      </c>
      <c r="AJ105" s="80">
        <f t="shared" si="74"/>
        <v>1612.0000000000002</v>
      </c>
      <c r="AK105" s="80">
        <f t="shared" si="74"/>
        <v>1612.0000000000002</v>
      </c>
      <c r="AL105" s="80">
        <f t="shared" si="74"/>
        <v>1612.0000000000002</v>
      </c>
      <c r="AM105" s="80">
        <f t="shared" si="74"/>
        <v>1612.0000000000002</v>
      </c>
      <c r="AN105" s="80">
        <f t="shared" si="74"/>
        <v>1612.0000000000002</v>
      </c>
      <c r="AO105" s="80">
        <f t="shared" si="74"/>
        <v>1612.0000000000002</v>
      </c>
      <c r="AP105" s="80">
        <f t="shared" si="74"/>
        <v>1612.0000000000002</v>
      </c>
      <c r="AQ105" s="80">
        <f t="shared" si="74"/>
        <v>1612.0000000000002</v>
      </c>
      <c r="AR105" s="80">
        <f t="shared" si="71"/>
        <v>1612.0000000000002</v>
      </c>
      <c r="AS105" s="80">
        <f t="shared" si="71"/>
        <v>1612.0000000000002</v>
      </c>
      <c r="AT105" s="80">
        <f t="shared" si="71"/>
        <v>1612.0000000000002</v>
      </c>
      <c r="AU105" s="80">
        <f t="shared" si="71"/>
        <v>1612.0000000000002</v>
      </c>
      <c r="AV105" s="80">
        <f t="shared" si="71"/>
        <v>1612.0000000000002</v>
      </c>
      <c r="AW105" s="80">
        <f t="shared" si="71"/>
        <v>1612.0000000000002</v>
      </c>
      <c r="AX105" s="80">
        <f t="shared" si="71"/>
        <v>1612.0000000000002</v>
      </c>
      <c r="AY105" s="80">
        <f t="shared" si="71"/>
        <v>1612.0000000000002</v>
      </c>
      <c r="AZ105" s="80">
        <f t="shared" si="71"/>
        <v>1612.0000000000002</v>
      </c>
      <c r="BA105" s="80">
        <f t="shared" si="71"/>
        <v>1612.0000000000002</v>
      </c>
      <c r="BB105" s="80">
        <f t="shared" si="71"/>
        <v>1612.0000000000002</v>
      </c>
      <c r="BC105" s="80">
        <f t="shared" si="71"/>
        <v>1612.0000000000002</v>
      </c>
      <c r="BD105" s="61"/>
      <c r="BE105" s="80">
        <f t="shared" si="73"/>
        <v>19344.000000000004</v>
      </c>
      <c r="BF105" s="80">
        <f t="shared" si="72"/>
        <v>19344.000000000004</v>
      </c>
      <c r="BG105" s="80">
        <f t="shared" si="72"/>
        <v>19344.000000000004</v>
      </c>
      <c r="BH105" s="80">
        <f t="shared" si="72"/>
        <v>19344.000000000004</v>
      </c>
    </row>
    <row r="106" spans="2:60" ht="21" customHeight="1" x14ac:dyDescent="0.35">
      <c r="B106" s="60" t="str">
        <f>$B$18</f>
        <v>Health Care Assistants</v>
      </c>
      <c r="C106" s="48">
        <f>IF($C$18="","",$C$18)</f>
        <v>43739</v>
      </c>
      <c r="D106" s="48" t="str">
        <f t="shared" si="69"/>
        <v/>
      </c>
      <c r="E106" s="47">
        <f>IF(E$18="","",E$18)</f>
        <v>6</v>
      </c>
      <c r="F106" s="80">
        <f>HCA!C35</f>
        <v>-92160</v>
      </c>
      <c r="G106" s="76"/>
      <c r="H106" s="80">
        <f t="shared" si="74"/>
        <v>0</v>
      </c>
      <c r="I106" s="80">
        <f t="shared" si="74"/>
        <v>0</v>
      </c>
      <c r="J106" s="80">
        <f t="shared" si="74"/>
        <v>-1300.983606557377</v>
      </c>
      <c r="K106" s="80">
        <f t="shared" si="74"/>
        <v>-2560</v>
      </c>
      <c r="L106" s="80">
        <f t="shared" si="74"/>
        <v>-3860.9836065573768</v>
      </c>
      <c r="M106" s="80">
        <f t="shared" si="74"/>
        <v>-5161.9672131147536</v>
      </c>
      <c r="N106" s="80">
        <f t="shared" si="74"/>
        <v>-6379.0163934426237</v>
      </c>
      <c r="O106" s="80">
        <f t="shared" si="74"/>
        <v>-7680</v>
      </c>
      <c r="P106" s="80">
        <f t="shared" si="74"/>
        <v>-7680</v>
      </c>
      <c r="Q106" s="80">
        <f t="shared" si="74"/>
        <v>-7680</v>
      </c>
      <c r="R106" s="80">
        <f t="shared" si="74"/>
        <v>-7680</v>
      </c>
      <c r="S106" s="80">
        <f t="shared" si="74"/>
        <v>-7680</v>
      </c>
      <c r="T106" s="80">
        <f t="shared" si="74"/>
        <v>-7680</v>
      </c>
      <c r="U106" s="80">
        <f t="shared" si="74"/>
        <v>-7680</v>
      </c>
      <c r="V106" s="80">
        <f t="shared" si="74"/>
        <v>-7680</v>
      </c>
      <c r="W106" s="80">
        <f t="shared" si="74"/>
        <v>-7680</v>
      </c>
      <c r="X106" s="80">
        <f t="shared" si="74"/>
        <v>-7680</v>
      </c>
      <c r="Y106" s="80">
        <f t="shared" si="74"/>
        <v>-7680</v>
      </c>
      <c r="Z106" s="80">
        <f t="shared" si="74"/>
        <v>-7680</v>
      </c>
      <c r="AA106" s="80">
        <f t="shared" si="74"/>
        <v>-7680</v>
      </c>
      <c r="AB106" s="80">
        <f t="shared" si="74"/>
        <v>-7680</v>
      </c>
      <c r="AC106" s="80">
        <f t="shared" si="74"/>
        <v>-7680</v>
      </c>
      <c r="AD106" s="80">
        <f t="shared" si="74"/>
        <v>-7680</v>
      </c>
      <c r="AE106" s="80">
        <f t="shared" si="74"/>
        <v>-7680</v>
      </c>
      <c r="AF106" s="80">
        <f t="shared" si="74"/>
        <v>-7680</v>
      </c>
      <c r="AG106" s="80">
        <f t="shared" si="74"/>
        <v>-7680</v>
      </c>
      <c r="AH106" s="80">
        <f t="shared" si="74"/>
        <v>-7680</v>
      </c>
      <c r="AI106" s="80">
        <f t="shared" si="74"/>
        <v>-7680</v>
      </c>
      <c r="AJ106" s="80">
        <f t="shared" si="74"/>
        <v>-7680</v>
      </c>
      <c r="AK106" s="80">
        <f t="shared" si="74"/>
        <v>-7680</v>
      </c>
      <c r="AL106" s="80">
        <f t="shared" si="74"/>
        <v>-7680</v>
      </c>
      <c r="AM106" s="80">
        <f t="shared" si="74"/>
        <v>-7680</v>
      </c>
      <c r="AN106" s="80">
        <f t="shared" si="74"/>
        <v>-7680</v>
      </c>
      <c r="AO106" s="80">
        <f t="shared" si="74"/>
        <v>-7680</v>
      </c>
      <c r="AP106" s="80">
        <f t="shared" si="74"/>
        <v>-7680</v>
      </c>
      <c r="AQ106" s="80">
        <f t="shared" si="74"/>
        <v>-7680</v>
      </c>
      <c r="AR106" s="80">
        <f t="shared" si="71"/>
        <v>-7680</v>
      </c>
      <c r="AS106" s="80">
        <f t="shared" si="71"/>
        <v>-7680</v>
      </c>
      <c r="AT106" s="80">
        <f t="shared" si="71"/>
        <v>-7680</v>
      </c>
      <c r="AU106" s="80">
        <f t="shared" si="71"/>
        <v>-7680</v>
      </c>
      <c r="AV106" s="80">
        <f t="shared" si="71"/>
        <v>-7680</v>
      </c>
      <c r="AW106" s="80">
        <f t="shared" si="71"/>
        <v>-7680</v>
      </c>
      <c r="AX106" s="80">
        <f t="shared" si="71"/>
        <v>-7680</v>
      </c>
      <c r="AY106" s="80">
        <f t="shared" si="71"/>
        <v>-7680</v>
      </c>
      <c r="AZ106" s="80">
        <f t="shared" si="71"/>
        <v>-7680</v>
      </c>
      <c r="BA106" s="80">
        <f t="shared" si="71"/>
        <v>-7680</v>
      </c>
      <c r="BB106" s="80">
        <f t="shared" si="71"/>
        <v>-7680</v>
      </c>
      <c r="BC106" s="80">
        <f t="shared" si="71"/>
        <v>-7680</v>
      </c>
      <c r="BD106" s="61"/>
      <c r="BE106" s="80">
        <f t="shared" si="73"/>
        <v>-57662.950819672129</v>
      </c>
      <c r="BF106" s="80">
        <f t="shared" si="72"/>
        <v>-92160</v>
      </c>
      <c r="BG106" s="80">
        <f t="shared" si="72"/>
        <v>-92160</v>
      </c>
      <c r="BH106" s="80">
        <f t="shared" si="72"/>
        <v>-92160</v>
      </c>
    </row>
    <row r="107" spans="2:60" ht="21" customHeight="1" x14ac:dyDescent="0.35">
      <c r="B107" s="60" t="str">
        <f>$B$19</f>
        <v>Patient portals</v>
      </c>
      <c r="C107" s="48">
        <f>IF($C$19="","",$C$19)</f>
        <v>43678</v>
      </c>
      <c r="D107" s="48" t="str">
        <f t="shared" si="69"/>
        <v/>
      </c>
      <c r="E107" s="47">
        <f>IF(E$19="","",E$19)</f>
        <v>36</v>
      </c>
      <c r="F107" s="80">
        <f>'Patient Portal'!I20</f>
        <v>-15069.600000000004</v>
      </c>
      <c r="G107" s="76"/>
      <c r="H107" s="80">
        <f t="shared" si="74"/>
        <v>-35.519890510948919</v>
      </c>
      <c r="I107" s="80">
        <f t="shared" si="74"/>
        <v>-69.893978102189806</v>
      </c>
      <c r="J107" s="80">
        <f t="shared" si="74"/>
        <v>-105.41386861313872</v>
      </c>
      <c r="K107" s="80">
        <f t="shared" si="74"/>
        <v>-139.78795620437961</v>
      </c>
      <c r="L107" s="80">
        <f t="shared" si="74"/>
        <v>-175.30784671532854</v>
      </c>
      <c r="M107" s="80">
        <f t="shared" si="74"/>
        <v>-210.82773722627743</v>
      </c>
      <c r="N107" s="80">
        <f t="shared" si="74"/>
        <v>-244.0560218978103</v>
      </c>
      <c r="O107" s="80">
        <f t="shared" si="74"/>
        <v>-279.57591240875922</v>
      </c>
      <c r="P107" s="80">
        <f t="shared" si="74"/>
        <v>-313.9500000000001</v>
      </c>
      <c r="Q107" s="80">
        <f t="shared" si="74"/>
        <v>-349.46989051094897</v>
      </c>
      <c r="R107" s="80">
        <f t="shared" si="74"/>
        <v>-383.84397810218985</v>
      </c>
      <c r="S107" s="80">
        <f t="shared" si="74"/>
        <v>-419.36386861313878</v>
      </c>
      <c r="T107" s="80">
        <f t="shared" si="74"/>
        <v>-454.8837591240877</v>
      </c>
      <c r="U107" s="80">
        <f t="shared" si="74"/>
        <v>-489.25784671532853</v>
      </c>
      <c r="V107" s="80">
        <f t="shared" si="74"/>
        <v>-524.77773722627751</v>
      </c>
      <c r="W107" s="80">
        <f t="shared" si="74"/>
        <v>-559.15182481751845</v>
      </c>
      <c r="X107" s="80">
        <f t="shared" si="74"/>
        <v>-594.67171532846726</v>
      </c>
      <c r="Y107" s="80">
        <f t="shared" si="74"/>
        <v>-630.19160583941618</v>
      </c>
      <c r="Z107" s="80">
        <f t="shared" si="74"/>
        <v>-662.27408759124103</v>
      </c>
      <c r="AA107" s="80">
        <f t="shared" si="74"/>
        <v>-697.79397810219007</v>
      </c>
      <c r="AB107" s="80">
        <f t="shared" si="74"/>
        <v>-732.16806569343089</v>
      </c>
      <c r="AC107" s="80">
        <f t="shared" si="74"/>
        <v>-767.6879562043797</v>
      </c>
      <c r="AD107" s="80">
        <f t="shared" si="74"/>
        <v>-802.06204379562075</v>
      </c>
      <c r="AE107" s="80">
        <f t="shared" si="74"/>
        <v>-837.58193430656956</v>
      </c>
      <c r="AF107" s="80">
        <f t="shared" si="74"/>
        <v>-873.1018248175186</v>
      </c>
      <c r="AG107" s="80">
        <f t="shared" si="74"/>
        <v>-907.47591240875943</v>
      </c>
      <c r="AH107" s="80">
        <f t="shared" si="74"/>
        <v>-942.99580291970835</v>
      </c>
      <c r="AI107" s="80">
        <f t="shared" si="74"/>
        <v>-977.36989051094918</v>
      </c>
      <c r="AJ107" s="80">
        <f t="shared" si="74"/>
        <v>-1012.8897810218981</v>
      </c>
      <c r="AK107" s="80">
        <f t="shared" si="74"/>
        <v>-1048.4096715328469</v>
      </c>
      <c r="AL107" s="80">
        <f t="shared" si="74"/>
        <v>-1080.4921532846718</v>
      </c>
      <c r="AM107" s="80">
        <f t="shared" si="74"/>
        <v>-1116.0120437956209</v>
      </c>
      <c r="AN107" s="80">
        <f t="shared" si="74"/>
        <v>-1150.3861313868617</v>
      </c>
      <c r="AO107" s="80">
        <f t="shared" si="74"/>
        <v>-1185.9060218978104</v>
      </c>
      <c r="AP107" s="80">
        <f t="shared" si="74"/>
        <v>-1220.2801094890513</v>
      </c>
      <c r="AQ107" s="80">
        <f t="shared" si="74"/>
        <v>-1255.8000000000004</v>
      </c>
      <c r="AR107" s="80">
        <f t="shared" si="71"/>
        <v>-1255.8000000000004</v>
      </c>
      <c r="AS107" s="80">
        <f t="shared" si="71"/>
        <v>-1255.8000000000004</v>
      </c>
      <c r="AT107" s="80">
        <f t="shared" si="71"/>
        <v>-1255.8000000000004</v>
      </c>
      <c r="AU107" s="80">
        <f t="shared" si="71"/>
        <v>-1255.8000000000004</v>
      </c>
      <c r="AV107" s="80">
        <f t="shared" si="71"/>
        <v>-1255.8000000000004</v>
      </c>
      <c r="AW107" s="80">
        <f t="shared" si="71"/>
        <v>-1255.8000000000004</v>
      </c>
      <c r="AX107" s="80">
        <f t="shared" si="71"/>
        <v>-1255.8000000000004</v>
      </c>
      <c r="AY107" s="80">
        <f t="shared" si="71"/>
        <v>-1255.8000000000004</v>
      </c>
      <c r="AZ107" s="80">
        <f t="shared" si="71"/>
        <v>-1255.8000000000004</v>
      </c>
      <c r="BA107" s="80">
        <f t="shared" si="71"/>
        <v>-1255.8000000000004</v>
      </c>
      <c r="BB107" s="80">
        <f t="shared" si="71"/>
        <v>-1255.8000000000004</v>
      </c>
      <c r="BC107" s="80">
        <f t="shared" si="71"/>
        <v>-1255.8000000000004</v>
      </c>
      <c r="BD107" s="61"/>
      <c r="BE107" s="80">
        <f t="shared" si="73"/>
        <v>-2727.0109489051106</v>
      </c>
      <c r="BF107" s="80">
        <f t="shared" si="72"/>
        <v>-7752.5025547445266</v>
      </c>
      <c r="BG107" s="80">
        <f t="shared" si="72"/>
        <v>-12771.119343065697</v>
      </c>
      <c r="BH107" s="80">
        <f t="shared" si="72"/>
        <v>-15069.600000000008</v>
      </c>
    </row>
    <row r="108" spans="2:60" ht="21" customHeight="1" x14ac:dyDescent="0.35">
      <c r="B108" s="60" t="str">
        <f>$B$20</f>
        <v>Community Engagement</v>
      </c>
      <c r="C108" s="48" t="str">
        <f>IF($C$20="","",$C$20)</f>
        <v/>
      </c>
      <c r="D108" s="48" t="str">
        <f t="shared" si="69"/>
        <v/>
      </c>
      <c r="E108" s="47" t="str">
        <f>IF(E$20="","",E$20)</f>
        <v/>
      </c>
      <c r="F108" s="80"/>
      <c r="G108" s="76"/>
      <c r="H108" s="80">
        <f t="shared" si="74"/>
        <v>0</v>
      </c>
      <c r="I108" s="80">
        <f t="shared" si="74"/>
        <v>0</v>
      </c>
      <c r="J108" s="80">
        <f t="shared" si="74"/>
        <v>0</v>
      </c>
      <c r="K108" s="80">
        <f t="shared" si="74"/>
        <v>0</v>
      </c>
      <c r="L108" s="80">
        <f t="shared" si="74"/>
        <v>0</v>
      </c>
      <c r="M108" s="80">
        <f t="shared" si="74"/>
        <v>0</v>
      </c>
      <c r="N108" s="80">
        <f t="shared" si="74"/>
        <v>0</v>
      </c>
      <c r="O108" s="80">
        <f t="shared" si="74"/>
        <v>0</v>
      </c>
      <c r="P108" s="80">
        <f t="shared" si="74"/>
        <v>0</v>
      </c>
      <c r="Q108" s="80">
        <f t="shared" si="74"/>
        <v>0</v>
      </c>
      <c r="R108" s="80">
        <f t="shared" si="74"/>
        <v>0</v>
      </c>
      <c r="S108" s="80">
        <f t="shared" si="74"/>
        <v>0</v>
      </c>
      <c r="T108" s="80">
        <f t="shared" si="74"/>
        <v>0</v>
      </c>
      <c r="U108" s="80">
        <f t="shared" si="74"/>
        <v>0</v>
      </c>
      <c r="V108" s="80">
        <f t="shared" si="74"/>
        <v>0</v>
      </c>
      <c r="W108" s="80">
        <f t="shared" si="74"/>
        <v>0</v>
      </c>
      <c r="X108" s="80">
        <f t="shared" si="74"/>
        <v>0</v>
      </c>
      <c r="Y108" s="80">
        <f t="shared" si="74"/>
        <v>0</v>
      </c>
      <c r="Z108" s="80">
        <f t="shared" si="74"/>
        <v>0</v>
      </c>
      <c r="AA108" s="80">
        <f t="shared" si="74"/>
        <v>0</v>
      </c>
      <c r="AB108" s="80">
        <f t="shared" si="74"/>
        <v>0</v>
      </c>
      <c r="AC108" s="80">
        <f t="shared" si="74"/>
        <v>0</v>
      </c>
      <c r="AD108" s="80">
        <f t="shared" si="74"/>
        <v>0</v>
      </c>
      <c r="AE108" s="80">
        <f t="shared" si="74"/>
        <v>0</v>
      </c>
      <c r="AF108" s="80">
        <f t="shared" si="74"/>
        <v>0</v>
      </c>
      <c r="AG108" s="80">
        <f t="shared" si="74"/>
        <v>0</v>
      </c>
      <c r="AH108" s="80">
        <f t="shared" si="74"/>
        <v>0</v>
      </c>
      <c r="AI108" s="80">
        <f t="shared" si="74"/>
        <v>0</v>
      </c>
      <c r="AJ108" s="80">
        <f t="shared" si="74"/>
        <v>0</v>
      </c>
      <c r="AK108" s="80">
        <f t="shared" si="74"/>
        <v>0</v>
      </c>
      <c r="AL108" s="80">
        <f t="shared" si="74"/>
        <v>0</v>
      </c>
      <c r="AM108" s="80">
        <f t="shared" si="74"/>
        <v>0</v>
      </c>
      <c r="AN108" s="80">
        <f t="shared" si="74"/>
        <v>0</v>
      </c>
      <c r="AO108" s="80">
        <f t="shared" si="74"/>
        <v>0</v>
      </c>
      <c r="AP108" s="80">
        <f t="shared" si="74"/>
        <v>0</v>
      </c>
      <c r="AQ108" s="80">
        <f t="shared" si="74"/>
        <v>0</v>
      </c>
      <c r="AR108" s="80">
        <f t="shared" si="71"/>
        <v>0</v>
      </c>
      <c r="AS108" s="80">
        <f t="shared" si="71"/>
        <v>0</v>
      </c>
      <c r="AT108" s="80">
        <f t="shared" si="71"/>
        <v>0</v>
      </c>
      <c r="AU108" s="80">
        <f t="shared" si="71"/>
        <v>0</v>
      </c>
      <c r="AV108" s="80">
        <f t="shared" si="71"/>
        <v>0</v>
      </c>
      <c r="AW108" s="80">
        <f t="shared" si="71"/>
        <v>0</v>
      </c>
      <c r="AX108" s="80">
        <f t="shared" si="71"/>
        <v>0</v>
      </c>
      <c r="AY108" s="80">
        <f t="shared" si="71"/>
        <v>0</v>
      </c>
      <c r="AZ108" s="80">
        <f t="shared" si="71"/>
        <v>0</v>
      </c>
      <c r="BA108" s="80">
        <f t="shared" si="71"/>
        <v>0</v>
      </c>
      <c r="BB108" s="80">
        <f t="shared" si="71"/>
        <v>0</v>
      </c>
      <c r="BC108" s="80">
        <f t="shared" si="71"/>
        <v>0</v>
      </c>
      <c r="BD108" s="61"/>
      <c r="BE108" s="80">
        <f t="shared" si="73"/>
        <v>0</v>
      </c>
      <c r="BF108" s="80">
        <f t="shared" si="72"/>
        <v>0</v>
      </c>
      <c r="BG108" s="80">
        <f t="shared" si="72"/>
        <v>0</v>
      </c>
      <c r="BH108" s="80">
        <f t="shared" si="72"/>
        <v>0</v>
      </c>
    </row>
    <row r="109" spans="2:60" ht="21" customHeight="1" x14ac:dyDescent="0.35">
      <c r="B109" s="60" t="str">
        <f>$B$21</f>
        <v>Integration</v>
      </c>
      <c r="C109" s="48" t="str">
        <f>IF($C$21="","",$C$21)</f>
        <v/>
      </c>
      <c r="D109" s="48" t="str">
        <f t="shared" si="69"/>
        <v/>
      </c>
      <c r="E109" s="47" t="str">
        <f>IF(E$21="","",E$21)</f>
        <v/>
      </c>
      <c r="F109" s="80"/>
      <c r="G109" s="76"/>
      <c r="H109" s="80">
        <f t="shared" si="74"/>
        <v>0</v>
      </c>
      <c r="I109" s="80">
        <f t="shared" si="74"/>
        <v>0</v>
      </c>
      <c r="J109" s="80">
        <f t="shared" si="74"/>
        <v>0</v>
      </c>
      <c r="K109" s="80">
        <f t="shared" si="74"/>
        <v>0</v>
      </c>
      <c r="L109" s="80">
        <f t="shared" si="74"/>
        <v>0</v>
      </c>
      <c r="M109" s="80">
        <f t="shared" si="74"/>
        <v>0</v>
      </c>
      <c r="N109" s="80">
        <f t="shared" si="74"/>
        <v>0</v>
      </c>
      <c r="O109" s="80">
        <f t="shared" si="74"/>
        <v>0</v>
      </c>
      <c r="P109" s="80">
        <f t="shared" si="74"/>
        <v>0</v>
      </c>
      <c r="Q109" s="80">
        <f t="shared" si="74"/>
        <v>0</v>
      </c>
      <c r="R109" s="80">
        <f t="shared" si="74"/>
        <v>0</v>
      </c>
      <c r="S109" s="80">
        <f t="shared" si="74"/>
        <v>0</v>
      </c>
      <c r="T109" s="80">
        <f t="shared" si="74"/>
        <v>0</v>
      </c>
      <c r="U109" s="80">
        <f t="shared" si="74"/>
        <v>0</v>
      </c>
      <c r="V109" s="80">
        <f t="shared" si="74"/>
        <v>0</v>
      </c>
      <c r="W109" s="80">
        <f t="shared" si="74"/>
        <v>0</v>
      </c>
      <c r="X109" s="80">
        <f t="shared" si="74"/>
        <v>0</v>
      </c>
      <c r="Y109" s="80">
        <f t="shared" si="74"/>
        <v>0</v>
      </c>
      <c r="Z109" s="80">
        <f t="shared" si="74"/>
        <v>0</v>
      </c>
      <c r="AA109" s="80">
        <f t="shared" si="74"/>
        <v>0</v>
      </c>
      <c r="AB109" s="80">
        <f t="shared" si="74"/>
        <v>0</v>
      </c>
      <c r="AC109" s="80">
        <f t="shared" si="74"/>
        <v>0</v>
      </c>
      <c r="AD109" s="80">
        <f t="shared" si="74"/>
        <v>0</v>
      </c>
      <c r="AE109" s="80">
        <f t="shared" si="74"/>
        <v>0</v>
      </c>
      <c r="AF109" s="80">
        <f t="shared" si="74"/>
        <v>0</v>
      </c>
      <c r="AG109" s="80">
        <f t="shared" si="74"/>
        <v>0</v>
      </c>
      <c r="AH109" s="80">
        <f t="shared" si="74"/>
        <v>0</v>
      </c>
      <c r="AI109" s="80">
        <f t="shared" si="74"/>
        <v>0</v>
      </c>
      <c r="AJ109" s="80">
        <f t="shared" si="74"/>
        <v>0</v>
      </c>
      <c r="AK109" s="80">
        <f t="shared" si="74"/>
        <v>0</v>
      </c>
      <c r="AL109" s="80">
        <f t="shared" si="74"/>
        <v>0</v>
      </c>
      <c r="AM109" s="80">
        <f t="shared" si="74"/>
        <v>0</v>
      </c>
      <c r="AN109" s="80">
        <f t="shared" si="74"/>
        <v>0</v>
      </c>
      <c r="AO109" s="80">
        <f t="shared" si="74"/>
        <v>0</v>
      </c>
      <c r="AP109" s="80">
        <f t="shared" si="74"/>
        <v>0</v>
      </c>
      <c r="AQ109" s="80">
        <f t="shared" si="74"/>
        <v>0</v>
      </c>
      <c r="AR109" s="80">
        <f t="shared" si="71"/>
        <v>0</v>
      </c>
      <c r="AS109" s="80">
        <f t="shared" si="71"/>
        <v>0</v>
      </c>
      <c r="AT109" s="80">
        <f t="shared" si="71"/>
        <v>0</v>
      </c>
      <c r="AU109" s="80">
        <f t="shared" si="71"/>
        <v>0</v>
      </c>
      <c r="AV109" s="80">
        <f t="shared" si="71"/>
        <v>0</v>
      </c>
      <c r="AW109" s="80">
        <f t="shared" si="71"/>
        <v>0</v>
      </c>
      <c r="AX109" s="80">
        <f t="shared" si="71"/>
        <v>0</v>
      </c>
      <c r="AY109" s="80">
        <f t="shared" si="71"/>
        <v>0</v>
      </c>
      <c r="AZ109" s="80">
        <f t="shared" si="71"/>
        <v>0</v>
      </c>
      <c r="BA109" s="80">
        <f t="shared" si="71"/>
        <v>0</v>
      </c>
      <c r="BB109" s="80">
        <f t="shared" si="71"/>
        <v>0</v>
      </c>
      <c r="BC109" s="80">
        <f t="shared" si="71"/>
        <v>0</v>
      </c>
      <c r="BD109" s="61"/>
      <c r="BE109" s="80">
        <f t="shared" si="73"/>
        <v>0</v>
      </c>
      <c r="BF109" s="80">
        <f t="shared" si="72"/>
        <v>0</v>
      </c>
      <c r="BG109" s="80">
        <f t="shared" si="72"/>
        <v>0</v>
      </c>
      <c r="BH109" s="80">
        <f t="shared" si="72"/>
        <v>0</v>
      </c>
    </row>
    <row r="110" spans="2:60" ht="21" customHeight="1" x14ac:dyDescent="0.35">
      <c r="B110" s="60" t="str">
        <f>$B$22</f>
        <v>Quality &amp; Safety</v>
      </c>
      <c r="C110" s="48" t="str">
        <f>IF($C$22="","",$C$22)</f>
        <v/>
      </c>
      <c r="D110" s="48" t="str">
        <f t="shared" si="69"/>
        <v/>
      </c>
      <c r="E110" s="47" t="str">
        <f>IF(E$22="","",E$22)</f>
        <v/>
      </c>
      <c r="F110" s="80"/>
      <c r="G110" s="76"/>
      <c r="H110" s="80">
        <f t="shared" si="74"/>
        <v>0</v>
      </c>
      <c r="I110" s="80">
        <f t="shared" si="74"/>
        <v>0</v>
      </c>
      <c r="J110" s="80">
        <f t="shared" si="74"/>
        <v>0</v>
      </c>
      <c r="K110" s="80">
        <f t="shared" si="74"/>
        <v>0</v>
      </c>
      <c r="L110" s="80">
        <f t="shared" si="74"/>
        <v>0</v>
      </c>
      <c r="M110" s="80">
        <f t="shared" si="74"/>
        <v>0</v>
      </c>
      <c r="N110" s="80">
        <f t="shared" si="74"/>
        <v>0</v>
      </c>
      <c r="O110" s="80">
        <f t="shared" si="74"/>
        <v>0</v>
      </c>
      <c r="P110" s="80">
        <f t="shared" si="74"/>
        <v>0</v>
      </c>
      <c r="Q110" s="80">
        <f t="shared" si="74"/>
        <v>0</v>
      </c>
      <c r="R110" s="80">
        <f t="shared" si="74"/>
        <v>0</v>
      </c>
      <c r="S110" s="80">
        <f t="shared" si="74"/>
        <v>0</v>
      </c>
      <c r="T110" s="80">
        <f t="shared" si="74"/>
        <v>0</v>
      </c>
      <c r="U110" s="80">
        <f t="shared" si="74"/>
        <v>0</v>
      </c>
      <c r="V110" s="80">
        <f t="shared" si="74"/>
        <v>0</v>
      </c>
      <c r="W110" s="80">
        <f t="shared" si="74"/>
        <v>0</v>
      </c>
      <c r="X110" s="80">
        <f t="shared" si="74"/>
        <v>0</v>
      </c>
      <c r="Y110" s="80">
        <f t="shared" si="74"/>
        <v>0</v>
      </c>
      <c r="Z110" s="80">
        <f t="shared" si="74"/>
        <v>0</v>
      </c>
      <c r="AA110" s="80">
        <f t="shared" si="74"/>
        <v>0</v>
      </c>
      <c r="AB110" s="80">
        <f t="shared" si="74"/>
        <v>0</v>
      </c>
      <c r="AC110" s="80">
        <f t="shared" si="74"/>
        <v>0</v>
      </c>
      <c r="AD110" s="80">
        <f t="shared" si="74"/>
        <v>0</v>
      </c>
      <c r="AE110" s="80">
        <f t="shared" si="74"/>
        <v>0</v>
      </c>
      <c r="AF110" s="80">
        <f t="shared" si="74"/>
        <v>0</v>
      </c>
      <c r="AG110" s="80">
        <f t="shared" si="74"/>
        <v>0</v>
      </c>
      <c r="AH110" s="80">
        <f t="shared" si="74"/>
        <v>0</v>
      </c>
      <c r="AI110" s="80">
        <f t="shared" si="74"/>
        <v>0</v>
      </c>
      <c r="AJ110" s="80">
        <f t="shared" si="74"/>
        <v>0</v>
      </c>
      <c r="AK110" s="80">
        <f t="shared" si="74"/>
        <v>0</v>
      </c>
      <c r="AL110" s="80">
        <f t="shared" si="74"/>
        <v>0</v>
      </c>
      <c r="AM110" s="80">
        <f t="shared" si="74"/>
        <v>0</v>
      </c>
      <c r="AN110" s="80">
        <f t="shared" si="74"/>
        <v>0</v>
      </c>
      <c r="AO110" s="80">
        <f t="shared" si="74"/>
        <v>0</v>
      </c>
      <c r="AP110" s="80">
        <f t="shared" si="74"/>
        <v>0</v>
      </c>
      <c r="AQ110" s="80">
        <f t="shared" si="74"/>
        <v>0</v>
      </c>
      <c r="AR110" s="80">
        <f t="shared" si="71"/>
        <v>0</v>
      </c>
      <c r="AS110" s="80">
        <f t="shared" si="71"/>
        <v>0</v>
      </c>
      <c r="AT110" s="80">
        <f t="shared" si="71"/>
        <v>0</v>
      </c>
      <c r="AU110" s="80">
        <f t="shared" si="71"/>
        <v>0</v>
      </c>
      <c r="AV110" s="80">
        <f t="shared" si="71"/>
        <v>0</v>
      </c>
      <c r="AW110" s="80">
        <f t="shared" si="71"/>
        <v>0</v>
      </c>
      <c r="AX110" s="80">
        <f t="shared" si="71"/>
        <v>0</v>
      </c>
      <c r="AY110" s="80">
        <f t="shared" si="71"/>
        <v>0</v>
      </c>
      <c r="AZ110" s="80">
        <f t="shared" si="71"/>
        <v>0</v>
      </c>
      <c r="BA110" s="80">
        <f t="shared" si="71"/>
        <v>0</v>
      </c>
      <c r="BB110" s="80">
        <f t="shared" si="71"/>
        <v>0</v>
      </c>
      <c r="BC110" s="80">
        <f t="shared" si="71"/>
        <v>0</v>
      </c>
      <c r="BD110" s="61"/>
      <c r="BE110" s="80">
        <f t="shared" si="73"/>
        <v>0</v>
      </c>
      <c r="BF110" s="80">
        <f t="shared" si="72"/>
        <v>0</v>
      </c>
      <c r="BG110" s="80">
        <f t="shared" si="72"/>
        <v>0</v>
      </c>
      <c r="BH110" s="80">
        <f t="shared" si="72"/>
        <v>0</v>
      </c>
    </row>
    <row r="111" spans="2:60" ht="21" customHeight="1" x14ac:dyDescent="0.35">
      <c r="B111" s="60" t="str">
        <f>$B$23</f>
        <v>Other (staff release for training and implementation activity)</v>
      </c>
      <c r="C111" s="48">
        <f>IF($C$23="","",$C$23)</f>
        <v>43678</v>
      </c>
      <c r="D111" s="48">
        <f t="shared" si="69"/>
        <v>44773</v>
      </c>
      <c r="E111" s="47">
        <f>IF(E$23="","",E$23)</f>
        <v>1</v>
      </c>
      <c r="F111" s="80">
        <f>Other!D22*60</f>
        <v>744</v>
      </c>
      <c r="G111" s="76">
        <f>Other!D11*60</f>
        <v>0</v>
      </c>
      <c r="H111" s="80">
        <f t="shared" si="74"/>
        <v>62</v>
      </c>
      <c r="I111" s="80">
        <f t="shared" si="74"/>
        <v>62</v>
      </c>
      <c r="J111" s="80">
        <f t="shared" si="74"/>
        <v>62</v>
      </c>
      <c r="K111" s="80">
        <f t="shared" si="74"/>
        <v>62</v>
      </c>
      <c r="L111" s="80">
        <f t="shared" si="74"/>
        <v>62</v>
      </c>
      <c r="M111" s="80">
        <f t="shared" si="74"/>
        <v>62</v>
      </c>
      <c r="N111" s="80">
        <f t="shared" ref="N111:AQ111" si="75">IFERROR(MIN(1,MAX(0,(EOMONTH(N$4,0)+1-$C111)/(EDATE($C111,$E111)-$C111)))*$F111/12+IF(N$3=1,$G111/12,0),0)</f>
        <v>62</v>
      </c>
      <c r="O111" s="80">
        <f t="shared" si="75"/>
        <v>62</v>
      </c>
      <c r="P111" s="80">
        <f t="shared" si="75"/>
        <v>62</v>
      </c>
      <c r="Q111" s="80">
        <f t="shared" si="75"/>
        <v>62</v>
      </c>
      <c r="R111" s="80">
        <f t="shared" si="75"/>
        <v>62</v>
      </c>
      <c r="S111" s="80">
        <f t="shared" si="75"/>
        <v>62</v>
      </c>
      <c r="T111" s="80">
        <f t="shared" si="75"/>
        <v>62</v>
      </c>
      <c r="U111" s="80">
        <f t="shared" si="75"/>
        <v>62</v>
      </c>
      <c r="V111" s="80">
        <f t="shared" si="75"/>
        <v>62</v>
      </c>
      <c r="W111" s="80">
        <f t="shared" si="75"/>
        <v>62</v>
      </c>
      <c r="X111" s="80">
        <f t="shared" si="75"/>
        <v>62</v>
      </c>
      <c r="Y111" s="80">
        <f t="shared" si="75"/>
        <v>62</v>
      </c>
      <c r="Z111" s="80">
        <f t="shared" si="75"/>
        <v>62</v>
      </c>
      <c r="AA111" s="80">
        <f t="shared" si="75"/>
        <v>62</v>
      </c>
      <c r="AB111" s="80">
        <f t="shared" si="75"/>
        <v>62</v>
      </c>
      <c r="AC111" s="80">
        <f t="shared" si="75"/>
        <v>62</v>
      </c>
      <c r="AD111" s="80">
        <f t="shared" si="75"/>
        <v>62</v>
      </c>
      <c r="AE111" s="80">
        <f t="shared" si="75"/>
        <v>62</v>
      </c>
      <c r="AF111" s="80">
        <f t="shared" si="75"/>
        <v>62</v>
      </c>
      <c r="AG111" s="80">
        <f t="shared" si="75"/>
        <v>62</v>
      </c>
      <c r="AH111" s="80">
        <f t="shared" si="75"/>
        <v>62</v>
      </c>
      <c r="AI111" s="80">
        <f t="shared" si="75"/>
        <v>62</v>
      </c>
      <c r="AJ111" s="80">
        <f t="shared" si="75"/>
        <v>62</v>
      </c>
      <c r="AK111" s="80">
        <f t="shared" si="75"/>
        <v>62</v>
      </c>
      <c r="AL111" s="80">
        <f t="shared" si="75"/>
        <v>62</v>
      </c>
      <c r="AM111" s="80">
        <f t="shared" si="75"/>
        <v>62</v>
      </c>
      <c r="AN111" s="80">
        <f t="shared" si="75"/>
        <v>62</v>
      </c>
      <c r="AO111" s="80">
        <f t="shared" si="75"/>
        <v>62</v>
      </c>
      <c r="AP111" s="80">
        <f t="shared" si="75"/>
        <v>62</v>
      </c>
      <c r="AQ111" s="80">
        <f t="shared" si="75"/>
        <v>62</v>
      </c>
      <c r="AR111" s="80">
        <f t="shared" si="71"/>
        <v>62</v>
      </c>
      <c r="AS111" s="80">
        <f t="shared" si="71"/>
        <v>62</v>
      </c>
      <c r="AT111" s="80">
        <f t="shared" si="71"/>
        <v>62</v>
      </c>
      <c r="AU111" s="80">
        <f t="shared" si="71"/>
        <v>62</v>
      </c>
      <c r="AV111" s="80">
        <f t="shared" si="71"/>
        <v>62</v>
      </c>
      <c r="AW111" s="80">
        <f t="shared" si="71"/>
        <v>62</v>
      </c>
      <c r="AX111" s="80">
        <f t="shared" si="71"/>
        <v>62</v>
      </c>
      <c r="AY111" s="80">
        <f t="shared" si="71"/>
        <v>62</v>
      </c>
      <c r="AZ111" s="80">
        <f t="shared" si="71"/>
        <v>62</v>
      </c>
      <c r="BA111" s="80">
        <f t="shared" si="71"/>
        <v>62</v>
      </c>
      <c r="BB111" s="80">
        <f t="shared" si="71"/>
        <v>62</v>
      </c>
      <c r="BC111" s="80">
        <f t="shared" si="71"/>
        <v>62</v>
      </c>
      <c r="BD111" s="61"/>
      <c r="BE111" s="80">
        <f t="shared" si="73"/>
        <v>744</v>
      </c>
      <c r="BF111" s="80">
        <f t="shared" si="72"/>
        <v>744</v>
      </c>
      <c r="BG111" s="80">
        <f t="shared" si="72"/>
        <v>744</v>
      </c>
      <c r="BH111" s="80">
        <f t="shared" si="72"/>
        <v>744</v>
      </c>
    </row>
    <row r="112" spans="2:60" ht="21" customHeight="1" x14ac:dyDescent="0.35">
      <c r="B112" s="49"/>
      <c r="C112" s="49"/>
      <c r="D112" s="49"/>
      <c r="E112" s="49"/>
    </row>
    <row r="113" spans="2:60" ht="21" customHeight="1" x14ac:dyDescent="0.35">
      <c r="B113" s="60" t="s">
        <v>208</v>
      </c>
      <c r="C113" s="48"/>
      <c r="D113" s="48"/>
      <c r="E113" s="47">
        <f>IF(E69="","",E69)</f>
        <v>1</v>
      </c>
      <c r="F113" s="19">
        <f>SUM(F95:F111)</f>
        <v>37107.399999999994</v>
      </c>
      <c r="H113" s="80">
        <f t="shared" ref="H113:AP113" si="76">SUM(H95:H111)</f>
        <v>1638.4801094890513</v>
      </c>
      <c r="I113" s="80">
        <f t="shared" si="76"/>
        <v>1604.1060218978105</v>
      </c>
      <c r="J113" s="80">
        <f t="shared" si="76"/>
        <v>612.56176395991929</v>
      </c>
      <c r="K113" s="80">
        <f t="shared" si="76"/>
        <v>-346.99719533481414</v>
      </c>
      <c r="L113" s="80">
        <f t="shared" si="76"/>
        <v>-1338.5414532727054</v>
      </c>
      <c r="M113" s="80">
        <f t="shared" si="76"/>
        <v>-2675.0449503410309</v>
      </c>
      <c r="N113" s="80">
        <f t="shared" si="76"/>
        <v>-3629.0114978515962</v>
      </c>
      <c r="O113" s="80">
        <f t="shared" si="76"/>
        <v>-4648.7688417421987</v>
      </c>
      <c r="P113" s="80">
        <f t="shared" si="76"/>
        <v>-4376.6143940001602</v>
      </c>
      <c r="Q113" s="80">
        <f t="shared" si="76"/>
        <v>-4095.3881313333868</v>
      </c>
      <c r="R113" s="80">
        <f t="shared" si="76"/>
        <v>-3823.2336835913475</v>
      </c>
      <c r="S113" s="80">
        <f t="shared" si="76"/>
        <v>-3542.0074209245749</v>
      </c>
      <c r="T113" s="80">
        <f t="shared" si="76"/>
        <v>-3324.1437956204377</v>
      </c>
      <c r="U113" s="80">
        <f t="shared" si="76"/>
        <v>-3113.3080291970805</v>
      </c>
      <c r="V113" s="80">
        <f t="shared" si="76"/>
        <v>-2895.4444038929437</v>
      </c>
      <c r="W113" s="80">
        <f t="shared" si="76"/>
        <v>-2684.6086374695865</v>
      </c>
      <c r="X113" s="80">
        <f t="shared" si="76"/>
        <v>-2466.7450121654501</v>
      </c>
      <c r="Y113" s="80">
        <f t="shared" si="76"/>
        <v>-2248.8813868613142</v>
      </c>
      <c r="Z113" s="80">
        <f t="shared" si="76"/>
        <v>-2052.1013381995131</v>
      </c>
      <c r="AA113" s="80">
        <f t="shared" si="76"/>
        <v>-1834.2377128953772</v>
      </c>
      <c r="AB113" s="80">
        <f t="shared" si="76"/>
        <v>-1623.40194647202</v>
      </c>
      <c r="AC113" s="80">
        <f t="shared" si="76"/>
        <v>-1405.5383211678836</v>
      </c>
      <c r="AD113" s="80">
        <f t="shared" si="76"/>
        <v>-1194.702554744526</v>
      </c>
      <c r="AE113" s="80">
        <f t="shared" si="76"/>
        <v>-976.83892944038962</v>
      </c>
      <c r="AF113" s="80">
        <f t="shared" si="76"/>
        <v>-758.97530413625361</v>
      </c>
      <c r="AG113" s="80">
        <f t="shared" si="76"/>
        <v>-548.1395377128955</v>
      </c>
      <c r="AH113" s="80">
        <f t="shared" si="76"/>
        <v>-330.27591240875938</v>
      </c>
      <c r="AI113" s="80">
        <f t="shared" si="76"/>
        <v>-119.44014598540036</v>
      </c>
      <c r="AJ113" s="80">
        <f t="shared" si="76"/>
        <v>98.423479318735758</v>
      </c>
      <c r="AK113" s="80">
        <f t="shared" si="76"/>
        <v>316.28710462287017</v>
      </c>
      <c r="AL113" s="80">
        <f t="shared" si="76"/>
        <v>513.06715328467112</v>
      </c>
      <c r="AM113" s="80">
        <f t="shared" si="76"/>
        <v>730.93077858880883</v>
      </c>
      <c r="AN113" s="80">
        <f t="shared" si="76"/>
        <v>941.76654501216603</v>
      </c>
      <c r="AO113" s="80">
        <f t="shared" si="76"/>
        <v>1159.6301703163024</v>
      </c>
      <c r="AP113" s="80">
        <f t="shared" si="76"/>
        <v>1370.4659367396578</v>
      </c>
      <c r="AQ113" s="80">
        <f>SUM(AQ95:AQ111)</f>
        <v>1588.3295620437955</v>
      </c>
      <c r="AR113" s="80">
        <f t="shared" ref="AR113:BA113" si="77">SUM(AR95:AR111)</f>
        <v>1841.7130778588823</v>
      </c>
      <c r="AS113" s="80">
        <f t="shared" si="77"/>
        <v>2086.9229318734788</v>
      </c>
      <c r="AT113" s="80">
        <f t="shared" si="77"/>
        <v>2340.3064476885638</v>
      </c>
      <c r="AU113" s="80">
        <f t="shared" si="77"/>
        <v>2585.5163017031637</v>
      </c>
      <c r="AV113" s="80">
        <f t="shared" si="77"/>
        <v>2838.8998175182469</v>
      </c>
      <c r="AW113" s="80">
        <f t="shared" si="77"/>
        <v>3092.2833333333338</v>
      </c>
      <c r="AX113" s="80">
        <f t="shared" si="77"/>
        <v>3092.2833333333338</v>
      </c>
      <c r="AY113" s="80">
        <f t="shared" si="77"/>
        <v>3092.2833333333338</v>
      </c>
      <c r="AZ113" s="80">
        <f t="shared" si="77"/>
        <v>3092.2833333333338</v>
      </c>
      <c r="BA113" s="80">
        <f t="shared" si="77"/>
        <v>3092.2833333333338</v>
      </c>
      <c r="BB113" s="80">
        <f>SUM(BB95:BB111)</f>
        <v>3092.2833333333338</v>
      </c>
      <c r="BC113" s="80">
        <f>SUM(BC95:BC111)</f>
        <v>3092.2833333333338</v>
      </c>
      <c r="BD113" s="61"/>
      <c r="BE113" s="80">
        <f>SUMIF($H$3:$BD$3,BE$3,$H113:$BD113)</f>
        <v>-24620.459673045036</v>
      </c>
      <c r="BF113" s="80">
        <f>SUMIF($H$3:$BD$3,BF$3,$H113:$BD113)</f>
        <v>-25819.952068126524</v>
      </c>
      <c r="BG113" s="80">
        <f t="shared" ref="BG113:BH113" si="78">SUMIF($H$3:$BD$3,BG$3,$H113:$BD113)</f>
        <v>4962.069829683699</v>
      </c>
      <c r="BH113" s="80">
        <f t="shared" si="78"/>
        <v>33339.341909975665</v>
      </c>
    </row>
    <row r="115" spans="2:60" ht="21" customHeight="1" x14ac:dyDescent="0.35">
      <c r="B115" s="58" t="s">
        <v>108</v>
      </c>
      <c r="C115" s="53" t="s">
        <v>58</v>
      </c>
      <c r="D115" s="53" t="s">
        <v>153</v>
      </c>
      <c r="E115" s="53" t="s">
        <v>59</v>
      </c>
      <c r="F115" s="53" t="s">
        <v>29</v>
      </c>
      <c r="G115" s="53" t="s">
        <v>307</v>
      </c>
      <c r="H115" s="59">
        <f>H$4</f>
        <v>43708</v>
      </c>
      <c r="I115" s="59">
        <f t="shared" ref="I115:BC115" si="79">I$4</f>
        <v>43738</v>
      </c>
      <c r="J115" s="59">
        <f t="shared" si="79"/>
        <v>43769</v>
      </c>
      <c r="K115" s="59">
        <f t="shared" si="79"/>
        <v>43799</v>
      </c>
      <c r="L115" s="59">
        <f t="shared" si="79"/>
        <v>43830</v>
      </c>
      <c r="M115" s="59">
        <f t="shared" si="79"/>
        <v>43861</v>
      </c>
      <c r="N115" s="59">
        <f t="shared" si="79"/>
        <v>43890</v>
      </c>
      <c r="O115" s="59">
        <f t="shared" si="79"/>
        <v>43921</v>
      </c>
      <c r="P115" s="59">
        <f t="shared" si="79"/>
        <v>43951</v>
      </c>
      <c r="Q115" s="59">
        <f t="shared" si="79"/>
        <v>43982</v>
      </c>
      <c r="R115" s="59">
        <f t="shared" si="79"/>
        <v>44012</v>
      </c>
      <c r="S115" s="59">
        <f t="shared" si="79"/>
        <v>44043</v>
      </c>
      <c r="T115" s="59">
        <f t="shared" si="79"/>
        <v>44074</v>
      </c>
      <c r="U115" s="59">
        <f t="shared" si="79"/>
        <v>44104</v>
      </c>
      <c r="V115" s="59">
        <f t="shared" si="79"/>
        <v>44135</v>
      </c>
      <c r="W115" s="59">
        <f t="shared" si="79"/>
        <v>44165</v>
      </c>
      <c r="X115" s="59">
        <f t="shared" si="79"/>
        <v>44196</v>
      </c>
      <c r="Y115" s="59">
        <f t="shared" si="79"/>
        <v>44227</v>
      </c>
      <c r="Z115" s="59">
        <f t="shared" si="79"/>
        <v>44255</v>
      </c>
      <c r="AA115" s="59">
        <f t="shared" si="79"/>
        <v>44286</v>
      </c>
      <c r="AB115" s="59">
        <f t="shared" si="79"/>
        <v>44316</v>
      </c>
      <c r="AC115" s="59">
        <f t="shared" si="79"/>
        <v>44347</v>
      </c>
      <c r="AD115" s="59">
        <f t="shared" si="79"/>
        <v>44377</v>
      </c>
      <c r="AE115" s="59">
        <f t="shared" si="79"/>
        <v>44408</v>
      </c>
      <c r="AF115" s="59">
        <f t="shared" si="79"/>
        <v>44439</v>
      </c>
      <c r="AG115" s="59">
        <f t="shared" si="79"/>
        <v>44469</v>
      </c>
      <c r="AH115" s="59">
        <f t="shared" si="79"/>
        <v>44500</v>
      </c>
      <c r="AI115" s="59">
        <f t="shared" si="79"/>
        <v>44530</v>
      </c>
      <c r="AJ115" s="59">
        <f t="shared" si="79"/>
        <v>44561</v>
      </c>
      <c r="AK115" s="59">
        <f t="shared" si="79"/>
        <v>44592</v>
      </c>
      <c r="AL115" s="59">
        <f t="shared" si="79"/>
        <v>44620</v>
      </c>
      <c r="AM115" s="59">
        <f t="shared" si="79"/>
        <v>44651</v>
      </c>
      <c r="AN115" s="59">
        <f t="shared" si="79"/>
        <v>44681</v>
      </c>
      <c r="AO115" s="59">
        <f t="shared" si="79"/>
        <v>44712</v>
      </c>
      <c r="AP115" s="59">
        <f t="shared" si="79"/>
        <v>44742</v>
      </c>
      <c r="AQ115" s="59">
        <f t="shared" si="79"/>
        <v>44773</v>
      </c>
      <c r="AR115" s="59">
        <f t="shared" si="79"/>
        <v>44804</v>
      </c>
      <c r="AS115" s="59">
        <f t="shared" si="79"/>
        <v>44834</v>
      </c>
      <c r="AT115" s="59">
        <f t="shared" si="79"/>
        <v>44865</v>
      </c>
      <c r="AU115" s="59">
        <f t="shared" si="79"/>
        <v>44895</v>
      </c>
      <c r="AV115" s="59">
        <f t="shared" si="79"/>
        <v>44926</v>
      </c>
      <c r="AW115" s="59">
        <f t="shared" si="79"/>
        <v>44957</v>
      </c>
      <c r="AX115" s="59">
        <f t="shared" si="79"/>
        <v>44985</v>
      </c>
      <c r="AY115" s="59">
        <f t="shared" si="79"/>
        <v>45016</v>
      </c>
      <c r="AZ115" s="59">
        <f t="shared" si="79"/>
        <v>45046</v>
      </c>
      <c r="BA115" s="59">
        <f t="shared" si="79"/>
        <v>45077</v>
      </c>
      <c r="BB115" s="59">
        <f t="shared" si="79"/>
        <v>45107</v>
      </c>
      <c r="BC115" s="59">
        <f t="shared" si="79"/>
        <v>45138</v>
      </c>
      <c r="BE115" s="72">
        <f>BE$3</f>
        <v>1</v>
      </c>
      <c r="BF115" s="72">
        <f>BF$3</f>
        <v>2</v>
      </c>
      <c r="BG115" s="72">
        <f>BG$3</f>
        <v>3</v>
      </c>
      <c r="BH115" s="72">
        <f>BH$3</f>
        <v>4</v>
      </c>
    </row>
    <row r="116" spans="2:60" ht="21" customHeight="1" x14ac:dyDescent="0.35">
      <c r="B116" s="60" t="str">
        <f>$B$7</f>
        <v>HCH Capitation Funding - Implementation</v>
      </c>
      <c r="C116" s="48">
        <f>IF($C$7="","",$C$7)</f>
        <v>43678</v>
      </c>
      <c r="D116" s="48">
        <f>IF(D95="","",D95)</f>
        <v>44773</v>
      </c>
      <c r="E116" s="47">
        <f>IF(E$7="","",E$7)</f>
        <v>1</v>
      </c>
      <c r="F116" s="80"/>
      <c r="G116" s="76"/>
      <c r="H116" s="80"/>
      <c r="I116" s="80"/>
      <c r="J116" s="80"/>
      <c r="K116" s="80"/>
      <c r="L116" s="80"/>
      <c r="M116" s="80"/>
      <c r="N116" s="80"/>
      <c r="O116" s="80"/>
      <c r="P116" s="80"/>
      <c r="Q116" s="80"/>
      <c r="R116" s="80"/>
      <c r="S116" s="80"/>
      <c r="T116" s="80"/>
      <c r="U116" s="80"/>
      <c r="V116" s="80"/>
      <c r="W116" s="80"/>
      <c r="X116" s="80"/>
      <c r="Y116" s="80"/>
      <c r="Z116" s="80"/>
      <c r="AA116" s="80"/>
      <c r="AB116" s="80"/>
      <c r="AC116" s="80"/>
      <c r="AD116" s="80"/>
      <c r="AE116" s="80"/>
      <c r="AF116" s="80"/>
      <c r="AG116" s="80"/>
      <c r="AH116" s="80"/>
      <c r="AI116" s="80"/>
      <c r="AJ116" s="80"/>
      <c r="AK116" s="80"/>
      <c r="AL116" s="80"/>
      <c r="AM116" s="80"/>
      <c r="AN116" s="80"/>
      <c r="AO116" s="80"/>
      <c r="AP116" s="80"/>
      <c r="AQ116" s="80"/>
      <c r="AR116" s="80"/>
      <c r="AS116" s="80"/>
      <c r="AT116" s="80"/>
      <c r="AU116" s="80"/>
      <c r="AV116" s="80"/>
      <c r="AW116" s="80"/>
      <c r="AX116" s="80"/>
      <c r="AY116" s="80"/>
      <c r="AZ116" s="80"/>
      <c r="BA116" s="80"/>
      <c r="BB116" s="80"/>
      <c r="BC116" s="80"/>
    </row>
    <row r="117" spans="2:60" ht="21" customHeight="1" x14ac:dyDescent="0.35">
      <c r="B117" s="60" t="str">
        <f>$B$8</f>
        <v>HCH Capitation Funding - At Risk</v>
      </c>
      <c r="C117" s="48">
        <f>IF($C$8="","",$C$8)</f>
        <v>43678</v>
      </c>
      <c r="D117" s="48">
        <f t="shared" ref="D117:D132" si="80">IF(D96="","",D96)</f>
        <v>44773</v>
      </c>
      <c r="E117" s="47">
        <f>IF(E$8="","",E$8)</f>
        <v>1</v>
      </c>
      <c r="F117" s="80"/>
      <c r="G117" s="76"/>
      <c r="H117" s="80"/>
      <c r="I117" s="80"/>
      <c r="J117" s="80"/>
      <c r="K117" s="80"/>
      <c r="L117" s="80"/>
      <c r="M117" s="80"/>
      <c r="N117" s="80"/>
      <c r="O117" s="80"/>
      <c r="P117" s="80"/>
      <c r="Q117" s="80"/>
      <c r="R117" s="80"/>
      <c r="S117" s="80"/>
      <c r="T117" s="80"/>
      <c r="U117" s="80"/>
      <c r="V117" s="80"/>
      <c r="W117" s="80"/>
      <c r="X117" s="80"/>
      <c r="Y117" s="80"/>
      <c r="Z117" s="80"/>
      <c r="AA117" s="80"/>
      <c r="AB117" s="80"/>
      <c r="AC117" s="80"/>
      <c r="AD117" s="80"/>
      <c r="AE117" s="80"/>
      <c r="AF117" s="80"/>
      <c r="AG117" s="80"/>
      <c r="AH117" s="80"/>
      <c r="AI117" s="80"/>
      <c r="AJ117" s="80"/>
      <c r="AK117" s="80"/>
      <c r="AL117" s="80"/>
      <c r="AM117" s="80"/>
      <c r="AN117" s="80"/>
      <c r="AO117" s="80"/>
      <c r="AP117" s="80"/>
      <c r="AQ117" s="80"/>
      <c r="AR117" s="80"/>
      <c r="AS117" s="80"/>
      <c r="AT117" s="80"/>
      <c r="AU117" s="80"/>
      <c r="AV117" s="80"/>
      <c r="AW117" s="80"/>
      <c r="AX117" s="80"/>
      <c r="AY117" s="80"/>
      <c r="AZ117" s="80"/>
      <c r="BA117" s="80"/>
      <c r="BB117" s="80"/>
      <c r="BC117" s="80"/>
    </row>
    <row r="118" spans="2:60" ht="21" customHeight="1" x14ac:dyDescent="0.35">
      <c r="B118" s="60" t="str">
        <f>$B$9</f>
        <v>Equity</v>
      </c>
      <c r="C118" s="48" t="str">
        <f>IF($C$9="","",$C$9)</f>
        <v/>
      </c>
      <c r="D118" s="48" t="str">
        <f t="shared" si="80"/>
        <v/>
      </c>
      <c r="E118" s="47" t="str">
        <f>IF(E$9="","",E$9)</f>
        <v/>
      </c>
      <c r="F118" s="80"/>
      <c r="G118" s="76"/>
      <c r="H118" s="80">
        <f t="shared" ref="H118:AQ125" si="81">IFERROR(MIN(1,MAX(0,(EOMONTH(H$4,0)+1-$C118)/(EDATE($C118,$E118)-$C118)))*$F118/12+IF(H$3=1,$G118/12,0),0)</f>
        <v>0</v>
      </c>
      <c r="I118" s="80">
        <f t="shared" si="81"/>
        <v>0</v>
      </c>
      <c r="J118" s="80">
        <f t="shared" si="81"/>
        <v>0</v>
      </c>
      <c r="K118" s="80">
        <f t="shared" si="81"/>
        <v>0</v>
      </c>
      <c r="L118" s="80">
        <f t="shared" si="81"/>
        <v>0</v>
      </c>
      <c r="M118" s="80">
        <f t="shared" si="81"/>
        <v>0</v>
      </c>
      <c r="N118" s="80">
        <f t="shared" si="81"/>
        <v>0</v>
      </c>
      <c r="O118" s="80">
        <f t="shared" si="81"/>
        <v>0</v>
      </c>
      <c r="P118" s="80">
        <f t="shared" si="81"/>
        <v>0</v>
      </c>
      <c r="Q118" s="80">
        <f t="shared" si="81"/>
        <v>0</v>
      </c>
      <c r="R118" s="80">
        <f t="shared" si="81"/>
        <v>0</v>
      </c>
      <c r="S118" s="80">
        <f t="shared" si="81"/>
        <v>0</v>
      </c>
      <c r="T118" s="80">
        <f t="shared" si="81"/>
        <v>0</v>
      </c>
      <c r="U118" s="80">
        <f t="shared" si="81"/>
        <v>0</v>
      </c>
      <c r="V118" s="80">
        <f t="shared" si="81"/>
        <v>0</v>
      </c>
      <c r="W118" s="80">
        <f t="shared" si="81"/>
        <v>0</v>
      </c>
      <c r="X118" s="80">
        <f t="shared" si="81"/>
        <v>0</v>
      </c>
      <c r="Y118" s="80">
        <f t="shared" si="81"/>
        <v>0</v>
      </c>
      <c r="Z118" s="80">
        <f t="shared" si="81"/>
        <v>0</v>
      </c>
      <c r="AA118" s="80">
        <f t="shared" si="81"/>
        <v>0</v>
      </c>
      <c r="AB118" s="80">
        <f t="shared" si="81"/>
        <v>0</v>
      </c>
      <c r="AC118" s="80">
        <f t="shared" si="81"/>
        <v>0</v>
      </c>
      <c r="AD118" s="80">
        <f t="shared" si="81"/>
        <v>0</v>
      </c>
      <c r="AE118" s="80">
        <f t="shared" si="81"/>
        <v>0</v>
      </c>
      <c r="AF118" s="80">
        <f t="shared" si="81"/>
        <v>0</v>
      </c>
      <c r="AG118" s="80">
        <f t="shared" si="81"/>
        <v>0</v>
      </c>
      <c r="AH118" s="80">
        <f t="shared" si="81"/>
        <v>0</v>
      </c>
      <c r="AI118" s="80">
        <f t="shared" si="81"/>
        <v>0</v>
      </c>
      <c r="AJ118" s="80">
        <f t="shared" si="81"/>
        <v>0</v>
      </c>
      <c r="AK118" s="80">
        <f t="shared" si="81"/>
        <v>0</v>
      </c>
      <c r="AL118" s="80">
        <f t="shared" si="81"/>
        <v>0</v>
      </c>
      <c r="AM118" s="80">
        <f t="shared" si="81"/>
        <v>0</v>
      </c>
      <c r="AN118" s="80">
        <f t="shared" si="81"/>
        <v>0</v>
      </c>
      <c r="AO118" s="80">
        <f t="shared" si="81"/>
        <v>0</v>
      </c>
      <c r="AP118" s="80">
        <f t="shared" si="81"/>
        <v>0</v>
      </c>
      <c r="AQ118" s="80">
        <f t="shared" si="81"/>
        <v>0</v>
      </c>
      <c r="AR118" s="80">
        <f t="shared" ref="AR118:BC132" si="82">IFERROR(MIN(1,MAX(0,(EOMONTH(AR$4,0)+1-$C118)/(EDATE($C118,$E118)-$C118)))*$F118/12+IF(AR$3=1,$G118/12,0),0)</f>
        <v>0</v>
      </c>
      <c r="AS118" s="80">
        <f t="shared" si="82"/>
        <v>0</v>
      </c>
      <c r="AT118" s="80">
        <f t="shared" si="82"/>
        <v>0</v>
      </c>
      <c r="AU118" s="80">
        <f t="shared" si="82"/>
        <v>0</v>
      </c>
      <c r="AV118" s="80">
        <f t="shared" si="82"/>
        <v>0</v>
      </c>
      <c r="AW118" s="80">
        <f t="shared" si="82"/>
        <v>0</v>
      </c>
      <c r="AX118" s="80">
        <f t="shared" si="82"/>
        <v>0</v>
      </c>
      <c r="AY118" s="80">
        <f t="shared" si="82"/>
        <v>0</v>
      </c>
      <c r="AZ118" s="80">
        <f t="shared" si="82"/>
        <v>0</v>
      </c>
      <c r="BA118" s="80">
        <f t="shared" si="82"/>
        <v>0</v>
      </c>
      <c r="BB118" s="80">
        <f t="shared" si="82"/>
        <v>0</v>
      </c>
      <c r="BC118" s="80">
        <f t="shared" si="82"/>
        <v>0</v>
      </c>
      <c r="BE118" s="76">
        <f>SUMIF($H$3:$BD$3,BE$3,$H118:$BD118)</f>
        <v>0</v>
      </c>
      <c r="BF118" s="76">
        <f t="shared" ref="BF118:BH132" si="83">SUMIF($H$3:$BD$3,BF$3,$H118:$BD118)</f>
        <v>0</v>
      </c>
      <c r="BG118" s="76">
        <f t="shared" si="83"/>
        <v>0</v>
      </c>
      <c r="BH118" s="76">
        <f t="shared" si="83"/>
        <v>0</v>
      </c>
    </row>
    <row r="119" spans="2:60" ht="21" customHeight="1" x14ac:dyDescent="0.35">
      <c r="B119" s="60" t="str">
        <f>$B$10</f>
        <v>Call Management</v>
      </c>
      <c r="C119" s="48">
        <f>IF($C$10="","",$C$10)</f>
        <v>43678</v>
      </c>
      <c r="D119" s="48" t="str">
        <f t="shared" si="80"/>
        <v/>
      </c>
      <c r="E119" s="47">
        <f>IF(E$10="","",E$10)</f>
        <v>1</v>
      </c>
      <c r="F119" s="80"/>
      <c r="G119" s="76"/>
      <c r="H119" s="80">
        <f t="shared" si="81"/>
        <v>0</v>
      </c>
      <c r="I119" s="80">
        <f t="shared" si="81"/>
        <v>0</v>
      </c>
      <c r="J119" s="80">
        <f t="shared" si="81"/>
        <v>0</v>
      </c>
      <c r="K119" s="80">
        <f t="shared" si="81"/>
        <v>0</v>
      </c>
      <c r="L119" s="80">
        <f t="shared" si="81"/>
        <v>0</v>
      </c>
      <c r="M119" s="80">
        <f t="shared" si="81"/>
        <v>0</v>
      </c>
      <c r="N119" s="80">
        <f t="shared" si="81"/>
        <v>0</v>
      </c>
      <c r="O119" s="80">
        <f t="shared" si="81"/>
        <v>0</v>
      </c>
      <c r="P119" s="80">
        <f t="shared" si="81"/>
        <v>0</v>
      </c>
      <c r="Q119" s="80">
        <f t="shared" si="81"/>
        <v>0</v>
      </c>
      <c r="R119" s="80">
        <f t="shared" si="81"/>
        <v>0</v>
      </c>
      <c r="S119" s="80">
        <f t="shared" si="81"/>
        <v>0</v>
      </c>
      <c r="T119" s="80">
        <f t="shared" si="81"/>
        <v>0</v>
      </c>
      <c r="U119" s="80">
        <f t="shared" si="81"/>
        <v>0</v>
      </c>
      <c r="V119" s="80">
        <f t="shared" si="81"/>
        <v>0</v>
      </c>
      <c r="W119" s="80">
        <f t="shared" si="81"/>
        <v>0</v>
      </c>
      <c r="X119" s="80">
        <f t="shared" si="81"/>
        <v>0</v>
      </c>
      <c r="Y119" s="80">
        <f t="shared" si="81"/>
        <v>0</v>
      </c>
      <c r="Z119" s="80">
        <f t="shared" si="81"/>
        <v>0</v>
      </c>
      <c r="AA119" s="80">
        <f t="shared" si="81"/>
        <v>0</v>
      </c>
      <c r="AB119" s="80">
        <f t="shared" si="81"/>
        <v>0</v>
      </c>
      <c r="AC119" s="80">
        <f t="shared" si="81"/>
        <v>0</v>
      </c>
      <c r="AD119" s="80">
        <f t="shared" si="81"/>
        <v>0</v>
      </c>
      <c r="AE119" s="80">
        <f t="shared" si="81"/>
        <v>0</v>
      </c>
      <c r="AF119" s="80">
        <f t="shared" si="81"/>
        <v>0</v>
      </c>
      <c r="AG119" s="80">
        <f t="shared" si="81"/>
        <v>0</v>
      </c>
      <c r="AH119" s="80">
        <f t="shared" si="81"/>
        <v>0</v>
      </c>
      <c r="AI119" s="80">
        <f t="shared" si="81"/>
        <v>0</v>
      </c>
      <c r="AJ119" s="80">
        <f t="shared" si="81"/>
        <v>0</v>
      </c>
      <c r="AK119" s="80">
        <f t="shared" si="81"/>
        <v>0</v>
      </c>
      <c r="AL119" s="80">
        <f t="shared" si="81"/>
        <v>0</v>
      </c>
      <c r="AM119" s="80">
        <f t="shared" si="81"/>
        <v>0</v>
      </c>
      <c r="AN119" s="80">
        <f t="shared" si="81"/>
        <v>0</v>
      </c>
      <c r="AO119" s="80">
        <f t="shared" si="81"/>
        <v>0</v>
      </c>
      <c r="AP119" s="80">
        <f t="shared" si="81"/>
        <v>0</v>
      </c>
      <c r="AQ119" s="80">
        <f t="shared" si="81"/>
        <v>0</v>
      </c>
      <c r="AR119" s="80">
        <f t="shared" si="82"/>
        <v>0</v>
      </c>
      <c r="AS119" s="80">
        <f t="shared" si="82"/>
        <v>0</v>
      </c>
      <c r="AT119" s="80">
        <f t="shared" si="82"/>
        <v>0</v>
      </c>
      <c r="AU119" s="80">
        <f t="shared" si="82"/>
        <v>0</v>
      </c>
      <c r="AV119" s="80">
        <f t="shared" si="82"/>
        <v>0</v>
      </c>
      <c r="AW119" s="80">
        <f t="shared" si="82"/>
        <v>0</v>
      </c>
      <c r="AX119" s="80">
        <f t="shared" si="82"/>
        <v>0</v>
      </c>
      <c r="AY119" s="80">
        <f t="shared" si="82"/>
        <v>0</v>
      </c>
      <c r="AZ119" s="80">
        <f t="shared" si="82"/>
        <v>0</v>
      </c>
      <c r="BA119" s="80">
        <f t="shared" si="82"/>
        <v>0</v>
      </c>
      <c r="BB119" s="80">
        <f t="shared" si="82"/>
        <v>0</v>
      </c>
      <c r="BC119" s="80">
        <f t="shared" si="82"/>
        <v>0</v>
      </c>
      <c r="BE119" s="76">
        <f t="shared" ref="BE119:BE132" si="84">SUMIF($H$3:$BD$3,BE$3,$H119:$BD119)</f>
        <v>0</v>
      </c>
      <c r="BF119" s="76">
        <f t="shared" si="83"/>
        <v>0</v>
      </c>
      <c r="BG119" s="76">
        <f t="shared" si="83"/>
        <v>0</v>
      </c>
      <c r="BH119" s="76">
        <f t="shared" si="83"/>
        <v>0</v>
      </c>
    </row>
    <row r="120" spans="2:60" ht="21" customHeight="1" x14ac:dyDescent="0.35">
      <c r="B120" s="60" t="str">
        <f>$B$11</f>
        <v>GP triage</v>
      </c>
      <c r="C120" s="48">
        <f>IF($C$11="","",$C$11)</f>
        <v>43739</v>
      </c>
      <c r="D120" s="48" t="str">
        <f t="shared" si="80"/>
        <v/>
      </c>
      <c r="E120" s="47">
        <f>IF(E$11="","",E$11)</f>
        <v>3</v>
      </c>
      <c r="F120" s="80"/>
      <c r="G120" s="76"/>
      <c r="H120" s="80">
        <f t="shared" si="81"/>
        <v>0</v>
      </c>
      <c r="I120" s="80">
        <f t="shared" si="81"/>
        <v>0</v>
      </c>
      <c r="J120" s="80">
        <f t="shared" si="81"/>
        <v>0</v>
      </c>
      <c r="K120" s="80">
        <f t="shared" si="81"/>
        <v>0</v>
      </c>
      <c r="L120" s="80">
        <f t="shared" si="81"/>
        <v>0</v>
      </c>
      <c r="M120" s="80">
        <f t="shared" si="81"/>
        <v>0</v>
      </c>
      <c r="N120" s="80">
        <f t="shared" si="81"/>
        <v>0</v>
      </c>
      <c r="O120" s="80">
        <f t="shared" si="81"/>
        <v>0</v>
      </c>
      <c r="P120" s="80">
        <f t="shared" si="81"/>
        <v>0</v>
      </c>
      <c r="Q120" s="80">
        <f t="shared" si="81"/>
        <v>0</v>
      </c>
      <c r="R120" s="80">
        <f t="shared" si="81"/>
        <v>0</v>
      </c>
      <c r="S120" s="80">
        <f t="shared" si="81"/>
        <v>0</v>
      </c>
      <c r="T120" s="80">
        <f t="shared" si="81"/>
        <v>0</v>
      </c>
      <c r="U120" s="80">
        <f t="shared" si="81"/>
        <v>0</v>
      </c>
      <c r="V120" s="80">
        <f t="shared" si="81"/>
        <v>0</v>
      </c>
      <c r="W120" s="80">
        <f t="shared" si="81"/>
        <v>0</v>
      </c>
      <c r="X120" s="80">
        <f t="shared" si="81"/>
        <v>0</v>
      </c>
      <c r="Y120" s="80">
        <f t="shared" si="81"/>
        <v>0</v>
      </c>
      <c r="Z120" s="80">
        <f t="shared" si="81"/>
        <v>0</v>
      </c>
      <c r="AA120" s="80">
        <f t="shared" si="81"/>
        <v>0</v>
      </c>
      <c r="AB120" s="80">
        <f t="shared" si="81"/>
        <v>0</v>
      </c>
      <c r="AC120" s="80">
        <f t="shared" si="81"/>
        <v>0</v>
      </c>
      <c r="AD120" s="80">
        <f t="shared" si="81"/>
        <v>0</v>
      </c>
      <c r="AE120" s="80">
        <f t="shared" si="81"/>
        <v>0</v>
      </c>
      <c r="AF120" s="80">
        <f t="shared" si="81"/>
        <v>0</v>
      </c>
      <c r="AG120" s="80">
        <f t="shared" si="81"/>
        <v>0</v>
      </c>
      <c r="AH120" s="80">
        <f t="shared" si="81"/>
        <v>0</v>
      </c>
      <c r="AI120" s="80">
        <f t="shared" si="81"/>
        <v>0</v>
      </c>
      <c r="AJ120" s="80">
        <f t="shared" si="81"/>
        <v>0</v>
      </c>
      <c r="AK120" s="80">
        <f t="shared" si="81"/>
        <v>0</v>
      </c>
      <c r="AL120" s="80">
        <f t="shared" si="81"/>
        <v>0</v>
      </c>
      <c r="AM120" s="80">
        <f t="shared" si="81"/>
        <v>0</v>
      </c>
      <c r="AN120" s="80">
        <f t="shared" si="81"/>
        <v>0</v>
      </c>
      <c r="AO120" s="80">
        <f t="shared" si="81"/>
        <v>0</v>
      </c>
      <c r="AP120" s="80">
        <f t="shared" si="81"/>
        <v>0</v>
      </c>
      <c r="AQ120" s="80">
        <f t="shared" si="81"/>
        <v>0</v>
      </c>
      <c r="AR120" s="80">
        <f t="shared" si="82"/>
        <v>0</v>
      </c>
      <c r="AS120" s="80">
        <f t="shared" si="82"/>
        <v>0</v>
      </c>
      <c r="AT120" s="80">
        <f t="shared" si="82"/>
        <v>0</v>
      </c>
      <c r="AU120" s="80">
        <f t="shared" si="82"/>
        <v>0</v>
      </c>
      <c r="AV120" s="80">
        <f t="shared" si="82"/>
        <v>0</v>
      </c>
      <c r="AW120" s="80">
        <f t="shared" si="82"/>
        <v>0</v>
      </c>
      <c r="AX120" s="80">
        <f t="shared" si="82"/>
        <v>0</v>
      </c>
      <c r="AY120" s="80">
        <f t="shared" si="82"/>
        <v>0</v>
      </c>
      <c r="AZ120" s="80">
        <f t="shared" si="82"/>
        <v>0</v>
      </c>
      <c r="BA120" s="80">
        <f t="shared" si="82"/>
        <v>0</v>
      </c>
      <c r="BB120" s="80">
        <f t="shared" si="82"/>
        <v>0</v>
      </c>
      <c r="BC120" s="80">
        <f t="shared" si="82"/>
        <v>0</v>
      </c>
      <c r="BD120" s="61"/>
      <c r="BE120" s="76">
        <f t="shared" si="84"/>
        <v>0</v>
      </c>
      <c r="BF120" s="76">
        <f t="shared" si="83"/>
        <v>0</v>
      </c>
      <c r="BG120" s="76">
        <f t="shared" si="83"/>
        <v>0</v>
      </c>
      <c r="BH120" s="76">
        <f t="shared" si="83"/>
        <v>0</v>
      </c>
    </row>
    <row r="121" spans="2:60" ht="21" customHeight="1" x14ac:dyDescent="0.35">
      <c r="B121" s="60" t="str">
        <f>$B$12</f>
        <v>YOC</v>
      </c>
      <c r="C121" s="48">
        <f>IF($C$12="","",$C$12)</f>
        <v>43862</v>
      </c>
      <c r="D121" s="48" t="str">
        <f t="shared" si="80"/>
        <v/>
      </c>
      <c r="E121" s="47">
        <f>IF(E$12="","",E$12)</f>
        <v>36</v>
      </c>
      <c r="F121" s="80">
        <v>0</v>
      </c>
      <c r="G121" s="76"/>
      <c r="H121" s="80">
        <f t="shared" si="81"/>
        <v>0</v>
      </c>
      <c r="I121" s="80">
        <f t="shared" si="81"/>
        <v>0</v>
      </c>
      <c r="J121" s="80">
        <f t="shared" si="81"/>
        <v>0</v>
      </c>
      <c r="K121" s="80">
        <f t="shared" si="81"/>
        <v>0</v>
      </c>
      <c r="L121" s="80">
        <f t="shared" si="81"/>
        <v>0</v>
      </c>
      <c r="M121" s="80">
        <f t="shared" si="81"/>
        <v>0</v>
      </c>
      <c r="N121" s="80">
        <f t="shared" si="81"/>
        <v>0</v>
      </c>
      <c r="O121" s="80">
        <f t="shared" si="81"/>
        <v>0</v>
      </c>
      <c r="P121" s="80">
        <f t="shared" si="81"/>
        <v>0</v>
      </c>
      <c r="Q121" s="80">
        <f t="shared" si="81"/>
        <v>0</v>
      </c>
      <c r="R121" s="80">
        <f t="shared" si="81"/>
        <v>0</v>
      </c>
      <c r="S121" s="80">
        <f t="shared" si="81"/>
        <v>0</v>
      </c>
      <c r="T121" s="80">
        <f t="shared" si="81"/>
        <v>0</v>
      </c>
      <c r="U121" s="80">
        <f t="shared" si="81"/>
        <v>0</v>
      </c>
      <c r="V121" s="80">
        <f t="shared" si="81"/>
        <v>0</v>
      </c>
      <c r="W121" s="80">
        <f t="shared" si="81"/>
        <v>0</v>
      </c>
      <c r="X121" s="80">
        <f t="shared" si="81"/>
        <v>0</v>
      </c>
      <c r="Y121" s="80">
        <f t="shared" si="81"/>
        <v>0</v>
      </c>
      <c r="Z121" s="80">
        <f t="shared" si="81"/>
        <v>0</v>
      </c>
      <c r="AA121" s="80">
        <f t="shared" si="81"/>
        <v>0</v>
      </c>
      <c r="AB121" s="80">
        <f t="shared" si="81"/>
        <v>0</v>
      </c>
      <c r="AC121" s="80">
        <f t="shared" si="81"/>
        <v>0</v>
      </c>
      <c r="AD121" s="80">
        <f t="shared" si="81"/>
        <v>0</v>
      </c>
      <c r="AE121" s="80">
        <f t="shared" si="81"/>
        <v>0</v>
      </c>
      <c r="AF121" s="80">
        <f t="shared" si="81"/>
        <v>0</v>
      </c>
      <c r="AG121" s="80">
        <f t="shared" si="81"/>
        <v>0</v>
      </c>
      <c r="AH121" s="80">
        <f t="shared" si="81"/>
        <v>0</v>
      </c>
      <c r="AI121" s="80">
        <f t="shared" si="81"/>
        <v>0</v>
      </c>
      <c r="AJ121" s="80">
        <f t="shared" si="81"/>
        <v>0</v>
      </c>
      <c r="AK121" s="80">
        <f t="shared" si="81"/>
        <v>0</v>
      </c>
      <c r="AL121" s="80">
        <f t="shared" si="81"/>
        <v>0</v>
      </c>
      <c r="AM121" s="80">
        <f t="shared" si="81"/>
        <v>0</v>
      </c>
      <c r="AN121" s="80">
        <f t="shared" si="81"/>
        <v>0</v>
      </c>
      <c r="AO121" s="80">
        <f t="shared" si="81"/>
        <v>0</v>
      </c>
      <c r="AP121" s="80">
        <f t="shared" si="81"/>
        <v>0</v>
      </c>
      <c r="AQ121" s="80">
        <f t="shared" si="81"/>
        <v>0</v>
      </c>
      <c r="AR121" s="80">
        <f t="shared" si="82"/>
        <v>0</v>
      </c>
      <c r="AS121" s="80">
        <f t="shared" si="82"/>
        <v>0</v>
      </c>
      <c r="AT121" s="80">
        <f t="shared" si="82"/>
        <v>0</v>
      </c>
      <c r="AU121" s="80">
        <f t="shared" si="82"/>
        <v>0</v>
      </c>
      <c r="AV121" s="80">
        <f t="shared" si="82"/>
        <v>0</v>
      </c>
      <c r="AW121" s="80">
        <f t="shared" si="82"/>
        <v>0</v>
      </c>
      <c r="AX121" s="80">
        <f t="shared" si="82"/>
        <v>0</v>
      </c>
      <c r="AY121" s="80">
        <f t="shared" si="82"/>
        <v>0</v>
      </c>
      <c r="AZ121" s="80">
        <f t="shared" si="82"/>
        <v>0</v>
      </c>
      <c r="BA121" s="80">
        <f t="shared" si="82"/>
        <v>0</v>
      </c>
      <c r="BB121" s="80">
        <f t="shared" si="82"/>
        <v>0</v>
      </c>
      <c r="BC121" s="80">
        <f t="shared" si="82"/>
        <v>0</v>
      </c>
      <c r="BD121" s="61"/>
      <c r="BE121" s="76">
        <f t="shared" si="84"/>
        <v>0</v>
      </c>
      <c r="BF121" s="76">
        <f t="shared" si="83"/>
        <v>0</v>
      </c>
      <c r="BG121" s="76">
        <f t="shared" si="83"/>
        <v>0</v>
      </c>
      <c r="BH121" s="76">
        <f t="shared" si="83"/>
        <v>0</v>
      </c>
    </row>
    <row r="122" spans="2:60" ht="21" customHeight="1" x14ac:dyDescent="0.35">
      <c r="B122" s="60" t="str">
        <f>$B$13</f>
        <v>Extended hours</v>
      </c>
      <c r="C122" s="48">
        <f>IF($C$13="","",$C$13)</f>
        <v>44013</v>
      </c>
      <c r="D122" s="48" t="str">
        <f t="shared" si="80"/>
        <v/>
      </c>
      <c r="E122" s="47">
        <f>IF(E$13="","",E$13)</f>
        <v>1</v>
      </c>
      <c r="F122" s="80"/>
      <c r="G122" s="76"/>
      <c r="H122" s="80">
        <f t="shared" si="81"/>
        <v>0</v>
      </c>
      <c r="I122" s="80">
        <f t="shared" si="81"/>
        <v>0</v>
      </c>
      <c r="J122" s="80">
        <f t="shared" si="81"/>
        <v>0</v>
      </c>
      <c r="K122" s="80">
        <f t="shared" si="81"/>
        <v>0</v>
      </c>
      <c r="L122" s="80">
        <f t="shared" si="81"/>
        <v>0</v>
      </c>
      <c r="M122" s="80">
        <f t="shared" si="81"/>
        <v>0</v>
      </c>
      <c r="N122" s="80">
        <f t="shared" si="81"/>
        <v>0</v>
      </c>
      <c r="O122" s="80">
        <f t="shared" si="81"/>
        <v>0</v>
      </c>
      <c r="P122" s="80">
        <f t="shared" si="81"/>
        <v>0</v>
      </c>
      <c r="Q122" s="80">
        <f t="shared" si="81"/>
        <v>0</v>
      </c>
      <c r="R122" s="80">
        <f t="shared" si="81"/>
        <v>0</v>
      </c>
      <c r="S122" s="80">
        <f t="shared" si="81"/>
        <v>0</v>
      </c>
      <c r="T122" s="80">
        <f t="shared" si="81"/>
        <v>0</v>
      </c>
      <c r="U122" s="80">
        <f t="shared" si="81"/>
        <v>0</v>
      </c>
      <c r="V122" s="80">
        <f t="shared" si="81"/>
        <v>0</v>
      </c>
      <c r="W122" s="80">
        <f t="shared" si="81"/>
        <v>0</v>
      </c>
      <c r="X122" s="80">
        <f t="shared" si="81"/>
        <v>0</v>
      </c>
      <c r="Y122" s="80">
        <f t="shared" si="81"/>
        <v>0</v>
      </c>
      <c r="Z122" s="80">
        <f t="shared" si="81"/>
        <v>0</v>
      </c>
      <c r="AA122" s="80">
        <f t="shared" si="81"/>
        <v>0</v>
      </c>
      <c r="AB122" s="80">
        <f t="shared" si="81"/>
        <v>0</v>
      </c>
      <c r="AC122" s="80">
        <f t="shared" si="81"/>
        <v>0</v>
      </c>
      <c r="AD122" s="80">
        <f t="shared" si="81"/>
        <v>0</v>
      </c>
      <c r="AE122" s="80">
        <f t="shared" si="81"/>
        <v>0</v>
      </c>
      <c r="AF122" s="80">
        <f t="shared" si="81"/>
        <v>0</v>
      </c>
      <c r="AG122" s="80">
        <f t="shared" si="81"/>
        <v>0</v>
      </c>
      <c r="AH122" s="80">
        <f t="shared" si="81"/>
        <v>0</v>
      </c>
      <c r="AI122" s="80">
        <f t="shared" si="81"/>
        <v>0</v>
      </c>
      <c r="AJ122" s="80">
        <f t="shared" si="81"/>
        <v>0</v>
      </c>
      <c r="AK122" s="80">
        <f t="shared" si="81"/>
        <v>0</v>
      </c>
      <c r="AL122" s="80">
        <f t="shared" si="81"/>
        <v>0</v>
      </c>
      <c r="AM122" s="80">
        <f t="shared" si="81"/>
        <v>0</v>
      </c>
      <c r="AN122" s="80">
        <f t="shared" si="81"/>
        <v>0</v>
      </c>
      <c r="AO122" s="80">
        <f t="shared" si="81"/>
        <v>0</v>
      </c>
      <c r="AP122" s="80">
        <f t="shared" si="81"/>
        <v>0</v>
      </c>
      <c r="AQ122" s="80">
        <f t="shared" si="81"/>
        <v>0</v>
      </c>
      <c r="AR122" s="80">
        <f t="shared" si="82"/>
        <v>0</v>
      </c>
      <c r="AS122" s="80">
        <f t="shared" si="82"/>
        <v>0</v>
      </c>
      <c r="AT122" s="80">
        <f t="shared" si="82"/>
        <v>0</v>
      </c>
      <c r="AU122" s="80">
        <f t="shared" si="82"/>
        <v>0</v>
      </c>
      <c r="AV122" s="80">
        <f t="shared" si="82"/>
        <v>0</v>
      </c>
      <c r="AW122" s="80">
        <f t="shared" si="82"/>
        <v>0</v>
      </c>
      <c r="AX122" s="80">
        <f t="shared" si="82"/>
        <v>0</v>
      </c>
      <c r="AY122" s="80">
        <f t="shared" si="82"/>
        <v>0</v>
      </c>
      <c r="AZ122" s="80">
        <f t="shared" si="82"/>
        <v>0</v>
      </c>
      <c r="BA122" s="80">
        <f t="shared" si="82"/>
        <v>0</v>
      </c>
      <c r="BB122" s="80">
        <f t="shared" si="82"/>
        <v>0</v>
      </c>
      <c r="BC122" s="80">
        <f t="shared" si="82"/>
        <v>0</v>
      </c>
      <c r="BD122" s="61"/>
      <c r="BE122" s="76">
        <f t="shared" si="84"/>
        <v>0</v>
      </c>
      <c r="BF122" s="76">
        <f t="shared" si="83"/>
        <v>0</v>
      </c>
      <c r="BG122" s="76">
        <f t="shared" si="83"/>
        <v>0</v>
      </c>
      <c r="BH122" s="76">
        <f t="shared" si="83"/>
        <v>0</v>
      </c>
    </row>
    <row r="123" spans="2:60" ht="21" customHeight="1" x14ac:dyDescent="0.35">
      <c r="B123" s="60" t="str">
        <f>$B$14</f>
        <v>Patient Centered Appointments</v>
      </c>
      <c r="C123" s="48" t="str">
        <f>IF($C$14="","",$C$14)</f>
        <v/>
      </c>
      <c r="D123" s="48" t="str">
        <f t="shared" si="80"/>
        <v/>
      </c>
      <c r="E123" s="47" t="str">
        <f>IF(E$14="","",E$14)</f>
        <v/>
      </c>
      <c r="F123" s="80"/>
      <c r="G123" s="76"/>
      <c r="H123" s="80">
        <f t="shared" si="81"/>
        <v>0</v>
      </c>
      <c r="I123" s="80">
        <f t="shared" si="81"/>
        <v>0</v>
      </c>
      <c r="J123" s="80">
        <f t="shared" si="81"/>
        <v>0</v>
      </c>
      <c r="K123" s="80">
        <f t="shared" si="81"/>
        <v>0</v>
      </c>
      <c r="L123" s="80">
        <f t="shared" si="81"/>
        <v>0</v>
      </c>
      <c r="M123" s="80">
        <f t="shared" si="81"/>
        <v>0</v>
      </c>
      <c r="N123" s="80">
        <f t="shared" si="81"/>
        <v>0</v>
      </c>
      <c r="O123" s="80">
        <f t="shared" si="81"/>
        <v>0</v>
      </c>
      <c r="P123" s="80">
        <f t="shared" si="81"/>
        <v>0</v>
      </c>
      <c r="Q123" s="80">
        <f t="shared" si="81"/>
        <v>0</v>
      </c>
      <c r="R123" s="80">
        <f t="shared" si="81"/>
        <v>0</v>
      </c>
      <c r="S123" s="80">
        <f t="shared" si="81"/>
        <v>0</v>
      </c>
      <c r="T123" s="80">
        <f t="shared" si="81"/>
        <v>0</v>
      </c>
      <c r="U123" s="80">
        <f t="shared" si="81"/>
        <v>0</v>
      </c>
      <c r="V123" s="80">
        <f t="shared" si="81"/>
        <v>0</v>
      </c>
      <c r="W123" s="80">
        <f t="shared" si="81"/>
        <v>0</v>
      </c>
      <c r="X123" s="80">
        <f t="shared" si="81"/>
        <v>0</v>
      </c>
      <c r="Y123" s="80">
        <f t="shared" si="81"/>
        <v>0</v>
      </c>
      <c r="Z123" s="80">
        <f t="shared" si="81"/>
        <v>0</v>
      </c>
      <c r="AA123" s="80">
        <f t="shared" si="81"/>
        <v>0</v>
      </c>
      <c r="AB123" s="80">
        <f t="shared" si="81"/>
        <v>0</v>
      </c>
      <c r="AC123" s="80">
        <f t="shared" si="81"/>
        <v>0</v>
      </c>
      <c r="AD123" s="80">
        <f t="shared" si="81"/>
        <v>0</v>
      </c>
      <c r="AE123" s="80">
        <f t="shared" si="81"/>
        <v>0</v>
      </c>
      <c r="AF123" s="80">
        <f t="shared" si="81"/>
        <v>0</v>
      </c>
      <c r="AG123" s="80">
        <f t="shared" si="81"/>
        <v>0</v>
      </c>
      <c r="AH123" s="80">
        <f t="shared" si="81"/>
        <v>0</v>
      </c>
      <c r="AI123" s="80">
        <f t="shared" si="81"/>
        <v>0</v>
      </c>
      <c r="AJ123" s="80">
        <f t="shared" si="81"/>
        <v>0</v>
      </c>
      <c r="AK123" s="80">
        <f t="shared" si="81"/>
        <v>0</v>
      </c>
      <c r="AL123" s="80">
        <f t="shared" si="81"/>
        <v>0</v>
      </c>
      <c r="AM123" s="80">
        <f t="shared" si="81"/>
        <v>0</v>
      </c>
      <c r="AN123" s="80">
        <f t="shared" si="81"/>
        <v>0</v>
      </c>
      <c r="AO123" s="80">
        <f t="shared" si="81"/>
        <v>0</v>
      </c>
      <c r="AP123" s="80">
        <f t="shared" si="81"/>
        <v>0</v>
      </c>
      <c r="AQ123" s="80">
        <f t="shared" si="81"/>
        <v>0</v>
      </c>
      <c r="AR123" s="80">
        <f t="shared" si="82"/>
        <v>0</v>
      </c>
      <c r="AS123" s="80">
        <f t="shared" si="82"/>
        <v>0</v>
      </c>
      <c r="AT123" s="80">
        <f t="shared" si="82"/>
        <v>0</v>
      </c>
      <c r="AU123" s="80">
        <f t="shared" si="82"/>
        <v>0</v>
      </c>
      <c r="AV123" s="80">
        <f t="shared" si="82"/>
        <v>0</v>
      </c>
      <c r="AW123" s="80">
        <f t="shared" si="82"/>
        <v>0</v>
      </c>
      <c r="AX123" s="80">
        <f t="shared" si="82"/>
        <v>0</v>
      </c>
      <c r="AY123" s="80">
        <f t="shared" si="82"/>
        <v>0</v>
      </c>
      <c r="AZ123" s="80">
        <f t="shared" si="82"/>
        <v>0</v>
      </c>
      <c r="BA123" s="80">
        <f t="shared" si="82"/>
        <v>0</v>
      </c>
      <c r="BB123" s="80">
        <f t="shared" si="82"/>
        <v>0</v>
      </c>
      <c r="BC123" s="80">
        <f t="shared" si="82"/>
        <v>0</v>
      </c>
      <c r="BD123" s="61"/>
      <c r="BE123" s="76">
        <f t="shared" si="84"/>
        <v>0</v>
      </c>
      <c r="BF123" s="76">
        <f t="shared" si="83"/>
        <v>0</v>
      </c>
      <c r="BG123" s="76">
        <f t="shared" si="83"/>
        <v>0</v>
      </c>
      <c r="BH123" s="76">
        <f t="shared" si="83"/>
        <v>0</v>
      </c>
    </row>
    <row r="124" spans="2:60" ht="21" customHeight="1" x14ac:dyDescent="0.35">
      <c r="B124" s="60" t="str">
        <f>$B$15</f>
        <v>Clinical and administrative pre work</v>
      </c>
      <c r="C124" s="48" t="str">
        <f>IF($C$15="","",$C$15)</f>
        <v/>
      </c>
      <c r="D124" s="48" t="str">
        <f t="shared" si="80"/>
        <v/>
      </c>
      <c r="E124" s="47" t="str">
        <f>IF(E$15="","",E$15)</f>
        <v/>
      </c>
      <c r="F124" s="80"/>
      <c r="G124" s="76"/>
      <c r="H124" s="80">
        <f t="shared" si="81"/>
        <v>0</v>
      </c>
      <c r="I124" s="80">
        <f t="shared" si="81"/>
        <v>0</v>
      </c>
      <c r="J124" s="80">
        <f t="shared" si="81"/>
        <v>0</v>
      </c>
      <c r="K124" s="80">
        <f t="shared" si="81"/>
        <v>0</v>
      </c>
      <c r="L124" s="80">
        <f t="shared" si="81"/>
        <v>0</v>
      </c>
      <c r="M124" s="80">
        <f t="shared" si="81"/>
        <v>0</v>
      </c>
      <c r="N124" s="80">
        <f t="shared" si="81"/>
        <v>0</v>
      </c>
      <c r="O124" s="80">
        <f t="shared" si="81"/>
        <v>0</v>
      </c>
      <c r="P124" s="80">
        <f t="shared" si="81"/>
        <v>0</v>
      </c>
      <c r="Q124" s="80">
        <f t="shared" si="81"/>
        <v>0</v>
      </c>
      <c r="R124" s="80">
        <f t="shared" si="81"/>
        <v>0</v>
      </c>
      <c r="S124" s="80">
        <f t="shared" si="81"/>
        <v>0</v>
      </c>
      <c r="T124" s="80">
        <f t="shared" si="81"/>
        <v>0</v>
      </c>
      <c r="U124" s="80">
        <f t="shared" si="81"/>
        <v>0</v>
      </c>
      <c r="V124" s="80">
        <f t="shared" si="81"/>
        <v>0</v>
      </c>
      <c r="W124" s="80">
        <f t="shared" si="81"/>
        <v>0</v>
      </c>
      <c r="X124" s="80">
        <f t="shared" si="81"/>
        <v>0</v>
      </c>
      <c r="Y124" s="80">
        <f t="shared" si="81"/>
        <v>0</v>
      </c>
      <c r="Z124" s="80">
        <f t="shared" si="81"/>
        <v>0</v>
      </c>
      <c r="AA124" s="80">
        <f t="shared" si="81"/>
        <v>0</v>
      </c>
      <c r="AB124" s="80">
        <f t="shared" si="81"/>
        <v>0</v>
      </c>
      <c r="AC124" s="80">
        <f t="shared" si="81"/>
        <v>0</v>
      </c>
      <c r="AD124" s="80">
        <f t="shared" si="81"/>
        <v>0</v>
      </c>
      <c r="AE124" s="80">
        <f t="shared" si="81"/>
        <v>0</v>
      </c>
      <c r="AF124" s="80">
        <f t="shared" si="81"/>
        <v>0</v>
      </c>
      <c r="AG124" s="80">
        <f t="shared" si="81"/>
        <v>0</v>
      </c>
      <c r="AH124" s="80">
        <f t="shared" si="81"/>
        <v>0</v>
      </c>
      <c r="AI124" s="80">
        <f t="shared" si="81"/>
        <v>0</v>
      </c>
      <c r="AJ124" s="80">
        <f t="shared" si="81"/>
        <v>0</v>
      </c>
      <c r="AK124" s="80">
        <f t="shared" si="81"/>
        <v>0</v>
      </c>
      <c r="AL124" s="80">
        <f t="shared" si="81"/>
        <v>0</v>
      </c>
      <c r="AM124" s="80">
        <f t="shared" si="81"/>
        <v>0</v>
      </c>
      <c r="AN124" s="80">
        <f t="shared" si="81"/>
        <v>0</v>
      </c>
      <c r="AO124" s="80">
        <f t="shared" si="81"/>
        <v>0</v>
      </c>
      <c r="AP124" s="80">
        <f t="shared" si="81"/>
        <v>0</v>
      </c>
      <c r="AQ124" s="80">
        <f t="shared" si="81"/>
        <v>0</v>
      </c>
      <c r="AR124" s="80">
        <f t="shared" si="82"/>
        <v>0</v>
      </c>
      <c r="AS124" s="80">
        <f t="shared" si="82"/>
        <v>0</v>
      </c>
      <c r="AT124" s="80">
        <f t="shared" si="82"/>
        <v>0</v>
      </c>
      <c r="AU124" s="80">
        <f t="shared" si="82"/>
        <v>0</v>
      </c>
      <c r="AV124" s="80">
        <f t="shared" si="82"/>
        <v>0</v>
      </c>
      <c r="AW124" s="80">
        <f t="shared" si="82"/>
        <v>0</v>
      </c>
      <c r="AX124" s="80">
        <f t="shared" si="82"/>
        <v>0</v>
      </c>
      <c r="AY124" s="80">
        <f t="shared" si="82"/>
        <v>0</v>
      </c>
      <c r="AZ124" s="80">
        <f t="shared" si="82"/>
        <v>0</v>
      </c>
      <c r="BA124" s="80">
        <f t="shared" si="82"/>
        <v>0</v>
      </c>
      <c r="BB124" s="80">
        <f t="shared" si="82"/>
        <v>0</v>
      </c>
      <c r="BC124" s="80">
        <f t="shared" si="82"/>
        <v>0</v>
      </c>
      <c r="BD124" s="61"/>
      <c r="BE124" s="76">
        <f t="shared" si="84"/>
        <v>0</v>
      </c>
      <c r="BF124" s="76">
        <f t="shared" si="83"/>
        <v>0</v>
      </c>
      <c r="BG124" s="76">
        <f t="shared" si="83"/>
        <v>0</v>
      </c>
      <c r="BH124" s="76">
        <f t="shared" si="83"/>
        <v>0</v>
      </c>
    </row>
    <row r="125" spans="2:60" ht="21" customHeight="1" x14ac:dyDescent="0.35">
      <c r="B125" s="60" t="str">
        <f>$B$16</f>
        <v>Multi-discliplinary Team Meetings</v>
      </c>
      <c r="C125" s="48">
        <f>IF($C$16="","",$C$16)</f>
        <v>43862</v>
      </c>
      <c r="D125" s="48" t="str">
        <f t="shared" si="80"/>
        <v/>
      </c>
      <c r="E125" s="47">
        <f>IF(E$16="","",E$16)</f>
        <v>6</v>
      </c>
      <c r="F125" s="80">
        <f>MDT!C31</f>
        <v>0</v>
      </c>
      <c r="G125" s="76"/>
      <c r="H125" s="80">
        <f t="shared" si="81"/>
        <v>0</v>
      </c>
      <c r="I125" s="80">
        <f t="shared" si="81"/>
        <v>0</v>
      </c>
      <c r="J125" s="80">
        <f t="shared" si="81"/>
        <v>0</v>
      </c>
      <c r="K125" s="80">
        <f t="shared" ref="H125:AQ132" si="85">IFERROR(MIN(1,MAX(0,(EOMONTH(K$4,0)+1-$C125)/(EDATE($C125,$E125)-$C125)))*$F125/12+IF(K$3=1,$G125/12,0),0)</f>
        <v>0</v>
      </c>
      <c r="L125" s="80">
        <f t="shared" si="85"/>
        <v>0</v>
      </c>
      <c r="M125" s="80">
        <f t="shared" si="85"/>
        <v>0</v>
      </c>
      <c r="N125" s="80">
        <f t="shared" si="85"/>
        <v>0</v>
      </c>
      <c r="O125" s="80">
        <f t="shared" si="85"/>
        <v>0</v>
      </c>
      <c r="P125" s="80">
        <f t="shared" si="85"/>
        <v>0</v>
      </c>
      <c r="Q125" s="80">
        <f t="shared" si="85"/>
        <v>0</v>
      </c>
      <c r="R125" s="80">
        <f t="shared" si="85"/>
        <v>0</v>
      </c>
      <c r="S125" s="80">
        <f t="shared" si="85"/>
        <v>0</v>
      </c>
      <c r="T125" s="80">
        <f t="shared" si="85"/>
        <v>0</v>
      </c>
      <c r="U125" s="80">
        <f t="shared" si="85"/>
        <v>0</v>
      </c>
      <c r="V125" s="80">
        <f t="shared" si="85"/>
        <v>0</v>
      </c>
      <c r="W125" s="80">
        <f t="shared" si="85"/>
        <v>0</v>
      </c>
      <c r="X125" s="80">
        <f t="shared" si="85"/>
        <v>0</v>
      </c>
      <c r="Y125" s="80">
        <f t="shared" si="85"/>
        <v>0</v>
      </c>
      <c r="Z125" s="80">
        <f t="shared" si="85"/>
        <v>0</v>
      </c>
      <c r="AA125" s="80">
        <f t="shared" si="85"/>
        <v>0</v>
      </c>
      <c r="AB125" s="80">
        <f t="shared" si="85"/>
        <v>0</v>
      </c>
      <c r="AC125" s="80">
        <f t="shared" si="85"/>
        <v>0</v>
      </c>
      <c r="AD125" s="80">
        <f t="shared" si="85"/>
        <v>0</v>
      </c>
      <c r="AE125" s="80">
        <f t="shared" si="85"/>
        <v>0</v>
      </c>
      <c r="AF125" s="80">
        <f t="shared" si="85"/>
        <v>0</v>
      </c>
      <c r="AG125" s="80">
        <f t="shared" si="85"/>
        <v>0</v>
      </c>
      <c r="AH125" s="80">
        <f t="shared" si="85"/>
        <v>0</v>
      </c>
      <c r="AI125" s="80">
        <f t="shared" si="85"/>
        <v>0</v>
      </c>
      <c r="AJ125" s="80">
        <f t="shared" si="85"/>
        <v>0</v>
      </c>
      <c r="AK125" s="80">
        <f t="shared" si="85"/>
        <v>0</v>
      </c>
      <c r="AL125" s="80">
        <f t="shared" si="85"/>
        <v>0</v>
      </c>
      <c r="AM125" s="80">
        <f t="shared" si="85"/>
        <v>0</v>
      </c>
      <c r="AN125" s="80">
        <f t="shared" si="85"/>
        <v>0</v>
      </c>
      <c r="AO125" s="80">
        <f t="shared" si="85"/>
        <v>0</v>
      </c>
      <c r="AP125" s="80">
        <f t="shared" si="85"/>
        <v>0</v>
      </c>
      <c r="AQ125" s="80">
        <f t="shared" si="85"/>
        <v>0</v>
      </c>
      <c r="AR125" s="80">
        <f t="shared" si="82"/>
        <v>0</v>
      </c>
      <c r="AS125" s="80">
        <f t="shared" si="82"/>
        <v>0</v>
      </c>
      <c r="AT125" s="80">
        <f t="shared" si="82"/>
        <v>0</v>
      </c>
      <c r="AU125" s="80">
        <f t="shared" si="82"/>
        <v>0</v>
      </c>
      <c r="AV125" s="80">
        <f t="shared" si="82"/>
        <v>0</v>
      </c>
      <c r="AW125" s="80">
        <f t="shared" si="82"/>
        <v>0</v>
      </c>
      <c r="AX125" s="80">
        <f t="shared" si="82"/>
        <v>0</v>
      </c>
      <c r="AY125" s="80">
        <f t="shared" si="82"/>
        <v>0</v>
      </c>
      <c r="AZ125" s="80">
        <f t="shared" si="82"/>
        <v>0</v>
      </c>
      <c r="BA125" s="80">
        <f t="shared" si="82"/>
        <v>0</v>
      </c>
      <c r="BB125" s="80">
        <f t="shared" si="82"/>
        <v>0</v>
      </c>
      <c r="BC125" s="80">
        <f t="shared" si="82"/>
        <v>0</v>
      </c>
      <c r="BD125" s="61"/>
      <c r="BE125" s="76">
        <f t="shared" si="84"/>
        <v>0</v>
      </c>
      <c r="BF125" s="76">
        <f t="shared" si="83"/>
        <v>0</v>
      </c>
      <c r="BG125" s="76">
        <f t="shared" si="83"/>
        <v>0</v>
      </c>
      <c r="BH125" s="76">
        <f t="shared" si="83"/>
        <v>0</v>
      </c>
    </row>
    <row r="126" spans="2:60" ht="21" customHeight="1" x14ac:dyDescent="0.35">
      <c r="B126" s="60" t="str">
        <f>$B$17</f>
        <v>Huddles</v>
      </c>
      <c r="C126" s="48">
        <f>IF($C$17="","",$C$17)</f>
        <v>43678</v>
      </c>
      <c r="D126" s="48" t="str">
        <f t="shared" si="80"/>
        <v/>
      </c>
      <c r="E126" s="47">
        <f>IF(E$17="","",E$17)</f>
        <v>1</v>
      </c>
      <c r="F126" s="80">
        <f>Huddles!C26</f>
        <v>9360.0000000000018</v>
      </c>
      <c r="G126" s="76"/>
      <c r="H126" s="80">
        <f t="shared" si="85"/>
        <v>780.00000000000011</v>
      </c>
      <c r="I126" s="80">
        <f t="shared" si="85"/>
        <v>780.00000000000011</v>
      </c>
      <c r="J126" s="80">
        <f t="shared" si="85"/>
        <v>780.00000000000011</v>
      </c>
      <c r="K126" s="80">
        <f t="shared" si="85"/>
        <v>780.00000000000011</v>
      </c>
      <c r="L126" s="80">
        <f t="shared" si="85"/>
        <v>780.00000000000011</v>
      </c>
      <c r="M126" s="80">
        <f t="shared" si="85"/>
        <v>780.00000000000011</v>
      </c>
      <c r="N126" s="80">
        <f t="shared" si="85"/>
        <v>780.00000000000011</v>
      </c>
      <c r="O126" s="80">
        <f t="shared" si="85"/>
        <v>780.00000000000011</v>
      </c>
      <c r="P126" s="80">
        <f t="shared" si="85"/>
        <v>780.00000000000011</v>
      </c>
      <c r="Q126" s="80">
        <f t="shared" si="85"/>
        <v>780.00000000000011</v>
      </c>
      <c r="R126" s="80">
        <f t="shared" si="85"/>
        <v>780.00000000000011</v>
      </c>
      <c r="S126" s="80">
        <f t="shared" si="85"/>
        <v>780.00000000000011</v>
      </c>
      <c r="T126" s="80">
        <f t="shared" si="85"/>
        <v>780.00000000000011</v>
      </c>
      <c r="U126" s="80">
        <f t="shared" si="85"/>
        <v>780.00000000000011</v>
      </c>
      <c r="V126" s="80">
        <f t="shared" si="85"/>
        <v>780.00000000000011</v>
      </c>
      <c r="W126" s="80">
        <f t="shared" si="85"/>
        <v>780.00000000000011</v>
      </c>
      <c r="X126" s="80">
        <f t="shared" si="85"/>
        <v>780.00000000000011</v>
      </c>
      <c r="Y126" s="80">
        <f t="shared" si="85"/>
        <v>780.00000000000011</v>
      </c>
      <c r="Z126" s="80">
        <f t="shared" si="85"/>
        <v>780.00000000000011</v>
      </c>
      <c r="AA126" s="80">
        <f t="shared" si="85"/>
        <v>780.00000000000011</v>
      </c>
      <c r="AB126" s="80">
        <f t="shared" si="85"/>
        <v>780.00000000000011</v>
      </c>
      <c r="AC126" s="80">
        <f t="shared" si="85"/>
        <v>780.00000000000011</v>
      </c>
      <c r="AD126" s="80">
        <f t="shared" si="85"/>
        <v>780.00000000000011</v>
      </c>
      <c r="AE126" s="80">
        <f t="shared" si="85"/>
        <v>780.00000000000011</v>
      </c>
      <c r="AF126" s="80">
        <f t="shared" si="85"/>
        <v>780.00000000000011</v>
      </c>
      <c r="AG126" s="80">
        <f t="shared" si="85"/>
        <v>780.00000000000011</v>
      </c>
      <c r="AH126" s="80">
        <f t="shared" si="85"/>
        <v>780.00000000000011</v>
      </c>
      <c r="AI126" s="80">
        <f t="shared" si="85"/>
        <v>780.00000000000011</v>
      </c>
      <c r="AJ126" s="80">
        <f t="shared" si="85"/>
        <v>780.00000000000011</v>
      </c>
      <c r="AK126" s="80">
        <f t="shared" si="85"/>
        <v>780.00000000000011</v>
      </c>
      <c r="AL126" s="80">
        <f t="shared" si="85"/>
        <v>780.00000000000011</v>
      </c>
      <c r="AM126" s="80">
        <f t="shared" si="85"/>
        <v>780.00000000000011</v>
      </c>
      <c r="AN126" s="80">
        <f t="shared" si="85"/>
        <v>780.00000000000011</v>
      </c>
      <c r="AO126" s="80">
        <f t="shared" si="85"/>
        <v>780.00000000000011</v>
      </c>
      <c r="AP126" s="80">
        <f t="shared" si="85"/>
        <v>780.00000000000011</v>
      </c>
      <c r="AQ126" s="80">
        <f t="shared" si="85"/>
        <v>780.00000000000011</v>
      </c>
      <c r="AR126" s="80">
        <f t="shared" si="82"/>
        <v>780.00000000000011</v>
      </c>
      <c r="AS126" s="80">
        <f t="shared" si="82"/>
        <v>780.00000000000011</v>
      </c>
      <c r="AT126" s="80">
        <f t="shared" si="82"/>
        <v>780.00000000000011</v>
      </c>
      <c r="AU126" s="80">
        <f t="shared" si="82"/>
        <v>780.00000000000011</v>
      </c>
      <c r="AV126" s="80">
        <f t="shared" si="82"/>
        <v>780.00000000000011</v>
      </c>
      <c r="AW126" s="80">
        <f t="shared" si="82"/>
        <v>780.00000000000011</v>
      </c>
      <c r="AX126" s="80">
        <f t="shared" si="82"/>
        <v>780.00000000000011</v>
      </c>
      <c r="AY126" s="80">
        <f t="shared" si="82"/>
        <v>780.00000000000011</v>
      </c>
      <c r="AZ126" s="80">
        <f t="shared" si="82"/>
        <v>780.00000000000011</v>
      </c>
      <c r="BA126" s="80">
        <f t="shared" si="82"/>
        <v>780.00000000000011</v>
      </c>
      <c r="BB126" s="80">
        <f t="shared" si="82"/>
        <v>780.00000000000011</v>
      </c>
      <c r="BC126" s="80">
        <f t="shared" si="82"/>
        <v>780.00000000000011</v>
      </c>
      <c r="BD126" s="61"/>
      <c r="BE126" s="76">
        <f t="shared" si="84"/>
        <v>9360.0000000000018</v>
      </c>
      <c r="BF126" s="76">
        <f t="shared" si="83"/>
        <v>9360.0000000000018</v>
      </c>
      <c r="BG126" s="76">
        <f t="shared" si="83"/>
        <v>9360.0000000000018</v>
      </c>
      <c r="BH126" s="76">
        <f t="shared" si="83"/>
        <v>9360.0000000000018</v>
      </c>
    </row>
    <row r="127" spans="2:60" ht="21" customHeight="1" x14ac:dyDescent="0.35">
      <c r="B127" s="60" t="str">
        <f>$B$18</f>
        <v>Health Care Assistants</v>
      </c>
      <c r="C127" s="48">
        <f>IF($C$18="","",$C$18)</f>
        <v>43739</v>
      </c>
      <c r="D127" s="48" t="str">
        <f t="shared" si="80"/>
        <v/>
      </c>
      <c r="E127" s="47">
        <f>IF(E$18="","",E$18)</f>
        <v>6</v>
      </c>
      <c r="F127" s="80">
        <f>HCA!C33</f>
        <v>0</v>
      </c>
      <c r="G127" s="76"/>
      <c r="H127" s="80">
        <f t="shared" si="85"/>
        <v>0</v>
      </c>
      <c r="I127" s="80">
        <f t="shared" si="85"/>
        <v>0</v>
      </c>
      <c r="J127" s="80">
        <f t="shared" si="85"/>
        <v>0</v>
      </c>
      <c r="K127" s="80">
        <f t="shared" si="85"/>
        <v>0</v>
      </c>
      <c r="L127" s="80">
        <f t="shared" si="85"/>
        <v>0</v>
      </c>
      <c r="M127" s="80">
        <f t="shared" si="85"/>
        <v>0</v>
      </c>
      <c r="N127" s="80">
        <f t="shared" si="85"/>
        <v>0</v>
      </c>
      <c r="O127" s="80">
        <f t="shared" si="85"/>
        <v>0</v>
      </c>
      <c r="P127" s="80">
        <f t="shared" si="85"/>
        <v>0</v>
      </c>
      <c r="Q127" s="80">
        <f t="shared" si="85"/>
        <v>0</v>
      </c>
      <c r="R127" s="80">
        <f t="shared" si="85"/>
        <v>0</v>
      </c>
      <c r="S127" s="80">
        <f t="shared" si="85"/>
        <v>0</v>
      </c>
      <c r="T127" s="80">
        <f t="shared" si="85"/>
        <v>0</v>
      </c>
      <c r="U127" s="80">
        <f t="shared" si="85"/>
        <v>0</v>
      </c>
      <c r="V127" s="80">
        <f t="shared" si="85"/>
        <v>0</v>
      </c>
      <c r="W127" s="80">
        <f t="shared" si="85"/>
        <v>0</v>
      </c>
      <c r="X127" s="80">
        <f t="shared" si="85"/>
        <v>0</v>
      </c>
      <c r="Y127" s="80">
        <f t="shared" si="85"/>
        <v>0</v>
      </c>
      <c r="Z127" s="80">
        <f t="shared" si="85"/>
        <v>0</v>
      </c>
      <c r="AA127" s="80">
        <f t="shared" si="85"/>
        <v>0</v>
      </c>
      <c r="AB127" s="80">
        <f t="shared" si="85"/>
        <v>0</v>
      </c>
      <c r="AC127" s="80">
        <f t="shared" si="85"/>
        <v>0</v>
      </c>
      <c r="AD127" s="80">
        <f t="shared" si="85"/>
        <v>0</v>
      </c>
      <c r="AE127" s="80">
        <f t="shared" si="85"/>
        <v>0</v>
      </c>
      <c r="AF127" s="80">
        <f t="shared" si="85"/>
        <v>0</v>
      </c>
      <c r="AG127" s="80">
        <f t="shared" si="85"/>
        <v>0</v>
      </c>
      <c r="AH127" s="80">
        <f t="shared" si="85"/>
        <v>0</v>
      </c>
      <c r="AI127" s="80">
        <f t="shared" si="85"/>
        <v>0</v>
      </c>
      <c r="AJ127" s="80">
        <f t="shared" si="85"/>
        <v>0</v>
      </c>
      <c r="AK127" s="80">
        <f t="shared" si="85"/>
        <v>0</v>
      </c>
      <c r="AL127" s="80">
        <f t="shared" si="85"/>
        <v>0</v>
      </c>
      <c r="AM127" s="80">
        <f t="shared" si="85"/>
        <v>0</v>
      </c>
      <c r="AN127" s="80">
        <f t="shared" si="85"/>
        <v>0</v>
      </c>
      <c r="AO127" s="80">
        <f t="shared" si="85"/>
        <v>0</v>
      </c>
      <c r="AP127" s="80">
        <f t="shared" si="85"/>
        <v>0</v>
      </c>
      <c r="AQ127" s="80">
        <f t="shared" si="85"/>
        <v>0</v>
      </c>
      <c r="AR127" s="80">
        <f t="shared" si="82"/>
        <v>0</v>
      </c>
      <c r="AS127" s="80">
        <f t="shared" si="82"/>
        <v>0</v>
      </c>
      <c r="AT127" s="80">
        <f t="shared" si="82"/>
        <v>0</v>
      </c>
      <c r="AU127" s="80">
        <f t="shared" si="82"/>
        <v>0</v>
      </c>
      <c r="AV127" s="80">
        <f t="shared" si="82"/>
        <v>0</v>
      </c>
      <c r="AW127" s="80">
        <f t="shared" si="82"/>
        <v>0</v>
      </c>
      <c r="AX127" s="80">
        <f t="shared" si="82"/>
        <v>0</v>
      </c>
      <c r="AY127" s="80">
        <f t="shared" si="82"/>
        <v>0</v>
      </c>
      <c r="AZ127" s="80">
        <f t="shared" si="82"/>
        <v>0</v>
      </c>
      <c r="BA127" s="80">
        <f t="shared" si="82"/>
        <v>0</v>
      </c>
      <c r="BB127" s="80">
        <f t="shared" si="82"/>
        <v>0</v>
      </c>
      <c r="BC127" s="80">
        <f t="shared" si="82"/>
        <v>0</v>
      </c>
      <c r="BD127" s="61"/>
      <c r="BE127" s="76">
        <f t="shared" si="84"/>
        <v>0</v>
      </c>
      <c r="BF127" s="76">
        <f t="shared" si="83"/>
        <v>0</v>
      </c>
      <c r="BG127" s="76">
        <f t="shared" si="83"/>
        <v>0</v>
      </c>
      <c r="BH127" s="76">
        <f t="shared" si="83"/>
        <v>0</v>
      </c>
    </row>
    <row r="128" spans="2:60" ht="21" customHeight="1" x14ac:dyDescent="0.35">
      <c r="B128" s="60" t="str">
        <f>$B$19</f>
        <v>Patient portals</v>
      </c>
      <c r="C128" s="48">
        <f>IF($C$19="","",$C$19)</f>
        <v>43678</v>
      </c>
      <c r="D128" s="48" t="str">
        <f t="shared" si="80"/>
        <v/>
      </c>
      <c r="E128" s="47">
        <f>IF(E$19="","",E$19)</f>
        <v>36</v>
      </c>
      <c r="F128" s="80"/>
      <c r="G128" s="76"/>
      <c r="H128" s="80">
        <f t="shared" si="85"/>
        <v>0</v>
      </c>
      <c r="I128" s="80">
        <f t="shared" si="85"/>
        <v>0</v>
      </c>
      <c r="J128" s="80">
        <f t="shared" si="85"/>
        <v>0</v>
      </c>
      <c r="K128" s="80">
        <f t="shared" si="85"/>
        <v>0</v>
      </c>
      <c r="L128" s="80">
        <f t="shared" si="85"/>
        <v>0</v>
      </c>
      <c r="M128" s="80">
        <f t="shared" si="85"/>
        <v>0</v>
      </c>
      <c r="N128" s="80">
        <f t="shared" si="85"/>
        <v>0</v>
      </c>
      <c r="O128" s="80">
        <f t="shared" si="85"/>
        <v>0</v>
      </c>
      <c r="P128" s="80">
        <f t="shared" si="85"/>
        <v>0</v>
      </c>
      <c r="Q128" s="80">
        <f t="shared" si="85"/>
        <v>0</v>
      </c>
      <c r="R128" s="80">
        <f t="shared" si="85"/>
        <v>0</v>
      </c>
      <c r="S128" s="80">
        <f t="shared" si="85"/>
        <v>0</v>
      </c>
      <c r="T128" s="80">
        <f t="shared" si="85"/>
        <v>0</v>
      </c>
      <c r="U128" s="80">
        <f t="shared" si="85"/>
        <v>0</v>
      </c>
      <c r="V128" s="80">
        <f t="shared" si="85"/>
        <v>0</v>
      </c>
      <c r="W128" s="80">
        <f t="shared" si="85"/>
        <v>0</v>
      </c>
      <c r="X128" s="80">
        <f t="shared" si="85"/>
        <v>0</v>
      </c>
      <c r="Y128" s="80">
        <f t="shared" si="85"/>
        <v>0</v>
      </c>
      <c r="Z128" s="80">
        <f t="shared" si="85"/>
        <v>0</v>
      </c>
      <c r="AA128" s="80">
        <f t="shared" si="85"/>
        <v>0</v>
      </c>
      <c r="AB128" s="80">
        <f t="shared" si="85"/>
        <v>0</v>
      </c>
      <c r="AC128" s="80">
        <f t="shared" si="85"/>
        <v>0</v>
      </c>
      <c r="AD128" s="80">
        <f t="shared" si="85"/>
        <v>0</v>
      </c>
      <c r="AE128" s="80">
        <f t="shared" si="85"/>
        <v>0</v>
      </c>
      <c r="AF128" s="80">
        <f t="shared" si="85"/>
        <v>0</v>
      </c>
      <c r="AG128" s="80">
        <f t="shared" si="85"/>
        <v>0</v>
      </c>
      <c r="AH128" s="80">
        <f t="shared" si="85"/>
        <v>0</v>
      </c>
      <c r="AI128" s="80">
        <f t="shared" si="85"/>
        <v>0</v>
      </c>
      <c r="AJ128" s="80">
        <f t="shared" si="85"/>
        <v>0</v>
      </c>
      <c r="AK128" s="80">
        <f t="shared" si="85"/>
        <v>0</v>
      </c>
      <c r="AL128" s="80">
        <f t="shared" si="85"/>
        <v>0</v>
      </c>
      <c r="AM128" s="80">
        <f t="shared" si="85"/>
        <v>0</v>
      </c>
      <c r="AN128" s="80">
        <f t="shared" si="85"/>
        <v>0</v>
      </c>
      <c r="AO128" s="80">
        <f t="shared" si="85"/>
        <v>0</v>
      </c>
      <c r="AP128" s="80">
        <f t="shared" si="85"/>
        <v>0</v>
      </c>
      <c r="AQ128" s="80">
        <f t="shared" si="85"/>
        <v>0</v>
      </c>
      <c r="AR128" s="80">
        <f t="shared" si="82"/>
        <v>0</v>
      </c>
      <c r="AS128" s="80">
        <f t="shared" si="82"/>
        <v>0</v>
      </c>
      <c r="AT128" s="80">
        <f t="shared" si="82"/>
        <v>0</v>
      </c>
      <c r="AU128" s="80">
        <f t="shared" si="82"/>
        <v>0</v>
      </c>
      <c r="AV128" s="80">
        <f t="shared" si="82"/>
        <v>0</v>
      </c>
      <c r="AW128" s="80">
        <f t="shared" si="82"/>
        <v>0</v>
      </c>
      <c r="AX128" s="80">
        <f t="shared" si="82"/>
        <v>0</v>
      </c>
      <c r="AY128" s="80">
        <f t="shared" si="82"/>
        <v>0</v>
      </c>
      <c r="AZ128" s="80">
        <f t="shared" si="82"/>
        <v>0</v>
      </c>
      <c r="BA128" s="80">
        <f t="shared" si="82"/>
        <v>0</v>
      </c>
      <c r="BB128" s="80">
        <f t="shared" si="82"/>
        <v>0</v>
      </c>
      <c r="BC128" s="80">
        <f t="shared" si="82"/>
        <v>0</v>
      </c>
      <c r="BD128" s="61"/>
      <c r="BE128" s="76">
        <f t="shared" si="84"/>
        <v>0</v>
      </c>
      <c r="BF128" s="76">
        <f t="shared" si="83"/>
        <v>0</v>
      </c>
      <c r="BG128" s="76">
        <f t="shared" si="83"/>
        <v>0</v>
      </c>
      <c r="BH128" s="76">
        <f t="shared" si="83"/>
        <v>0</v>
      </c>
    </row>
    <row r="129" spans="2:60" ht="21" customHeight="1" x14ac:dyDescent="0.35">
      <c r="B129" s="60" t="str">
        <f>$B$20</f>
        <v>Community Engagement</v>
      </c>
      <c r="C129" s="48" t="str">
        <f>IF($C$20="","",$C$20)</f>
        <v/>
      </c>
      <c r="D129" s="48" t="str">
        <f t="shared" si="80"/>
        <v/>
      </c>
      <c r="E129" s="47" t="str">
        <f>IF(E$20="","",E$20)</f>
        <v/>
      </c>
      <c r="F129" s="80"/>
      <c r="G129" s="76"/>
      <c r="H129" s="80">
        <f t="shared" si="85"/>
        <v>0</v>
      </c>
      <c r="I129" s="80">
        <f t="shared" si="85"/>
        <v>0</v>
      </c>
      <c r="J129" s="80">
        <f t="shared" si="85"/>
        <v>0</v>
      </c>
      <c r="K129" s="80">
        <f t="shared" si="85"/>
        <v>0</v>
      </c>
      <c r="L129" s="80">
        <f t="shared" si="85"/>
        <v>0</v>
      </c>
      <c r="M129" s="80">
        <f t="shared" si="85"/>
        <v>0</v>
      </c>
      <c r="N129" s="80">
        <f t="shared" si="85"/>
        <v>0</v>
      </c>
      <c r="O129" s="80">
        <f t="shared" si="85"/>
        <v>0</v>
      </c>
      <c r="P129" s="80">
        <f t="shared" si="85"/>
        <v>0</v>
      </c>
      <c r="Q129" s="80">
        <f t="shared" si="85"/>
        <v>0</v>
      </c>
      <c r="R129" s="80">
        <f t="shared" si="85"/>
        <v>0</v>
      </c>
      <c r="S129" s="80">
        <f t="shared" si="85"/>
        <v>0</v>
      </c>
      <c r="T129" s="80">
        <f t="shared" si="85"/>
        <v>0</v>
      </c>
      <c r="U129" s="80">
        <f t="shared" si="85"/>
        <v>0</v>
      </c>
      <c r="V129" s="80">
        <f t="shared" si="85"/>
        <v>0</v>
      </c>
      <c r="W129" s="80">
        <f t="shared" si="85"/>
        <v>0</v>
      </c>
      <c r="X129" s="80">
        <f t="shared" si="85"/>
        <v>0</v>
      </c>
      <c r="Y129" s="80">
        <f t="shared" si="85"/>
        <v>0</v>
      </c>
      <c r="Z129" s="80">
        <f t="shared" si="85"/>
        <v>0</v>
      </c>
      <c r="AA129" s="80">
        <f t="shared" si="85"/>
        <v>0</v>
      </c>
      <c r="AB129" s="80">
        <f t="shared" si="85"/>
        <v>0</v>
      </c>
      <c r="AC129" s="80">
        <f t="shared" si="85"/>
        <v>0</v>
      </c>
      <c r="AD129" s="80">
        <f t="shared" si="85"/>
        <v>0</v>
      </c>
      <c r="AE129" s="80">
        <f t="shared" si="85"/>
        <v>0</v>
      </c>
      <c r="AF129" s="80">
        <f t="shared" si="85"/>
        <v>0</v>
      </c>
      <c r="AG129" s="80">
        <f t="shared" si="85"/>
        <v>0</v>
      </c>
      <c r="AH129" s="80">
        <f t="shared" si="85"/>
        <v>0</v>
      </c>
      <c r="AI129" s="80">
        <f t="shared" si="85"/>
        <v>0</v>
      </c>
      <c r="AJ129" s="80">
        <f t="shared" si="85"/>
        <v>0</v>
      </c>
      <c r="AK129" s="80">
        <f t="shared" si="85"/>
        <v>0</v>
      </c>
      <c r="AL129" s="80">
        <f t="shared" si="85"/>
        <v>0</v>
      </c>
      <c r="AM129" s="80">
        <f t="shared" si="85"/>
        <v>0</v>
      </c>
      <c r="AN129" s="80">
        <f t="shared" si="85"/>
        <v>0</v>
      </c>
      <c r="AO129" s="80">
        <f t="shared" si="85"/>
        <v>0</v>
      </c>
      <c r="AP129" s="80">
        <f t="shared" si="85"/>
        <v>0</v>
      </c>
      <c r="AQ129" s="80">
        <f t="shared" si="85"/>
        <v>0</v>
      </c>
      <c r="AR129" s="80">
        <f t="shared" si="82"/>
        <v>0</v>
      </c>
      <c r="AS129" s="80">
        <f t="shared" si="82"/>
        <v>0</v>
      </c>
      <c r="AT129" s="80">
        <f t="shared" si="82"/>
        <v>0</v>
      </c>
      <c r="AU129" s="80">
        <f t="shared" si="82"/>
        <v>0</v>
      </c>
      <c r="AV129" s="80">
        <f t="shared" si="82"/>
        <v>0</v>
      </c>
      <c r="AW129" s="80">
        <f t="shared" si="82"/>
        <v>0</v>
      </c>
      <c r="AX129" s="80">
        <f t="shared" si="82"/>
        <v>0</v>
      </c>
      <c r="AY129" s="80">
        <f t="shared" si="82"/>
        <v>0</v>
      </c>
      <c r="AZ129" s="80">
        <f t="shared" si="82"/>
        <v>0</v>
      </c>
      <c r="BA129" s="80">
        <f t="shared" si="82"/>
        <v>0</v>
      </c>
      <c r="BB129" s="80">
        <f t="shared" si="82"/>
        <v>0</v>
      </c>
      <c r="BC129" s="80">
        <f t="shared" si="82"/>
        <v>0</v>
      </c>
      <c r="BD129" s="61"/>
      <c r="BE129" s="76">
        <f t="shared" si="84"/>
        <v>0</v>
      </c>
      <c r="BF129" s="76">
        <f t="shared" si="83"/>
        <v>0</v>
      </c>
      <c r="BG129" s="76">
        <f t="shared" si="83"/>
        <v>0</v>
      </c>
      <c r="BH129" s="76">
        <f t="shared" si="83"/>
        <v>0</v>
      </c>
    </row>
    <row r="130" spans="2:60" ht="21" customHeight="1" x14ac:dyDescent="0.35">
      <c r="B130" s="60" t="str">
        <f>$B$21</f>
        <v>Integration</v>
      </c>
      <c r="C130" s="48" t="str">
        <f>IF($C$21="","",$C$21)</f>
        <v/>
      </c>
      <c r="D130" s="48" t="str">
        <f t="shared" si="80"/>
        <v/>
      </c>
      <c r="E130" s="47" t="str">
        <f>IF(E$21="","",E$21)</f>
        <v/>
      </c>
      <c r="F130" s="80"/>
      <c r="G130" s="76"/>
      <c r="H130" s="80">
        <f t="shared" si="85"/>
        <v>0</v>
      </c>
      <c r="I130" s="80">
        <f t="shared" si="85"/>
        <v>0</v>
      </c>
      <c r="J130" s="80">
        <f t="shared" si="85"/>
        <v>0</v>
      </c>
      <c r="K130" s="80">
        <f t="shared" si="85"/>
        <v>0</v>
      </c>
      <c r="L130" s="80">
        <f t="shared" si="85"/>
        <v>0</v>
      </c>
      <c r="M130" s="80">
        <f t="shared" si="85"/>
        <v>0</v>
      </c>
      <c r="N130" s="80">
        <f t="shared" si="85"/>
        <v>0</v>
      </c>
      <c r="O130" s="80">
        <f t="shared" si="85"/>
        <v>0</v>
      </c>
      <c r="P130" s="80">
        <f t="shared" si="85"/>
        <v>0</v>
      </c>
      <c r="Q130" s="80">
        <f t="shared" si="85"/>
        <v>0</v>
      </c>
      <c r="R130" s="80">
        <f t="shared" si="85"/>
        <v>0</v>
      </c>
      <c r="S130" s="80">
        <f t="shared" si="85"/>
        <v>0</v>
      </c>
      <c r="T130" s="80">
        <f t="shared" si="85"/>
        <v>0</v>
      </c>
      <c r="U130" s="80">
        <f t="shared" si="85"/>
        <v>0</v>
      </c>
      <c r="V130" s="80">
        <f t="shared" si="85"/>
        <v>0</v>
      </c>
      <c r="W130" s="80">
        <f t="shared" si="85"/>
        <v>0</v>
      </c>
      <c r="X130" s="80">
        <f t="shared" si="85"/>
        <v>0</v>
      </c>
      <c r="Y130" s="80">
        <f t="shared" si="85"/>
        <v>0</v>
      </c>
      <c r="Z130" s="80">
        <f t="shared" si="85"/>
        <v>0</v>
      </c>
      <c r="AA130" s="80">
        <f t="shared" si="85"/>
        <v>0</v>
      </c>
      <c r="AB130" s="80">
        <f t="shared" si="85"/>
        <v>0</v>
      </c>
      <c r="AC130" s="80">
        <f t="shared" si="85"/>
        <v>0</v>
      </c>
      <c r="AD130" s="80">
        <f t="shared" si="85"/>
        <v>0</v>
      </c>
      <c r="AE130" s="80">
        <f t="shared" si="85"/>
        <v>0</v>
      </c>
      <c r="AF130" s="80">
        <f t="shared" si="85"/>
        <v>0</v>
      </c>
      <c r="AG130" s="80">
        <f t="shared" si="85"/>
        <v>0</v>
      </c>
      <c r="AH130" s="80">
        <f t="shared" si="85"/>
        <v>0</v>
      </c>
      <c r="AI130" s="80">
        <f t="shared" si="85"/>
        <v>0</v>
      </c>
      <c r="AJ130" s="80">
        <f t="shared" si="85"/>
        <v>0</v>
      </c>
      <c r="AK130" s="80">
        <f t="shared" si="85"/>
        <v>0</v>
      </c>
      <c r="AL130" s="80">
        <f t="shared" si="85"/>
        <v>0</v>
      </c>
      <c r="AM130" s="80">
        <f t="shared" si="85"/>
        <v>0</v>
      </c>
      <c r="AN130" s="80">
        <f t="shared" si="85"/>
        <v>0</v>
      </c>
      <c r="AO130" s="80">
        <f t="shared" si="85"/>
        <v>0</v>
      </c>
      <c r="AP130" s="80">
        <f t="shared" si="85"/>
        <v>0</v>
      </c>
      <c r="AQ130" s="80">
        <f t="shared" si="85"/>
        <v>0</v>
      </c>
      <c r="AR130" s="80">
        <f t="shared" si="82"/>
        <v>0</v>
      </c>
      <c r="AS130" s="80">
        <f t="shared" si="82"/>
        <v>0</v>
      </c>
      <c r="AT130" s="80">
        <f t="shared" si="82"/>
        <v>0</v>
      </c>
      <c r="AU130" s="80">
        <f t="shared" si="82"/>
        <v>0</v>
      </c>
      <c r="AV130" s="80">
        <f t="shared" si="82"/>
        <v>0</v>
      </c>
      <c r="AW130" s="80">
        <f t="shared" si="82"/>
        <v>0</v>
      </c>
      <c r="AX130" s="80">
        <f t="shared" si="82"/>
        <v>0</v>
      </c>
      <c r="AY130" s="80">
        <f t="shared" si="82"/>
        <v>0</v>
      </c>
      <c r="AZ130" s="80">
        <f t="shared" si="82"/>
        <v>0</v>
      </c>
      <c r="BA130" s="80">
        <f t="shared" si="82"/>
        <v>0</v>
      </c>
      <c r="BB130" s="80">
        <f t="shared" si="82"/>
        <v>0</v>
      </c>
      <c r="BC130" s="80">
        <f t="shared" si="82"/>
        <v>0</v>
      </c>
      <c r="BD130" s="61"/>
      <c r="BE130" s="76">
        <f t="shared" si="84"/>
        <v>0</v>
      </c>
      <c r="BF130" s="76">
        <f t="shared" si="83"/>
        <v>0</v>
      </c>
      <c r="BG130" s="76">
        <f t="shared" si="83"/>
        <v>0</v>
      </c>
      <c r="BH130" s="76">
        <f t="shared" si="83"/>
        <v>0</v>
      </c>
    </row>
    <row r="131" spans="2:60" ht="21" customHeight="1" x14ac:dyDescent="0.35">
      <c r="B131" s="60" t="str">
        <f>$B$22</f>
        <v>Quality &amp; Safety</v>
      </c>
      <c r="C131" s="48" t="str">
        <f>IF($C$22="","",$C$22)</f>
        <v/>
      </c>
      <c r="D131" s="48" t="str">
        <f t="shared" si="80"/>
        <v/>
      </c>
      <c r="E131" s="47" t="str">
        <f>IF(E$22="","",E$22)</f>
        <v/>
      </c>
      <c r="F131" s="80"/>
      <c r="G131" s="76"/>
      <c r="H131" s="80">
        <f t="shared" si="85"/>
        <v>0</v>
      </c>
      <c r="I131" s="80">
        <f t="shared" si="85"/>
        <v>0</v>
      </c>
      <c r="J131" s="80">
        <f t="shared" si="85"/>
        <v>0</v>
      </c>
      <c r="K131" s="80">
        <f t="shared" si="85"/>
        <v>0</v>
      </c>
      <c r="L131" s="80">
        <f t="shared" si="85"/>
        <v>0</v>
      </c>
      <c r="M131" s="80">
        <f t="shared" si="85"/>
        <v>0</v>
      </c>
      <c r="N131" s="80">
        <f t="shared" si="85"/>
        <v>0</v>
      </c>
      <c r="O131" s="80">
        <f t="shared" si="85"/>
        <v>0</v>
      </c>
      <c r="P131" s="80">
        <f t="shared" si="85"/>
        <v>0</v>
      </c>
      <c r="Q131" s="80">
        <f t="shared" si="85"/>
        <v>0</v>
      </c>
      <c r="R131" s="80">
        <f t="shared" si="85"/>
        <v>0</v>
      </c>
      <c r="S131" s="80">
        <f t="shared" si="85"/>
        <v>0</v>
      </c>
      <c r="T131" s="80">
        <f t="shared" si="85"/>
        <v>0</v>
      </c>
      <c r="U131" s="80">
        <f t="shared" si="85"/>
        <v>0</v>
      </c>
      <c r="V131" s="80">
        <f t="shared" si="85"/>
        <v>0</v>
      </c>
      <c r="W131" s="80">
        <f t="shared" si="85"/>
        <v>0</v>
      </c>
      <c r="X131" s="80">
        <f t="shared" si="85"/>
        <v>0</v>
      </c>
      <c r="Y131" s="80">
        <f t="shared" si="85"/>
        <v>0</v>
      </c>
      <c r="Z131" s="80">
        <f t="shared" si="85"/>
        <v>0</v>
      </c>
      <c r="AA131" s="80">
        <f t="shared" si="85"/>
        <v>0</v>
      </c>
      <c r="AB131" s="80">
        <f t="shared" si="85"/>
        <v>0</v>
      </c>
      <c r="AC131" s="80">
        <f t="shared" si="85"/>
        <v>0</v>
      </c>
      <c r="AD131" s="80">
        <f t="shared" si="85"/>
        <v>0</v>
      </c>
      <c r="AE131" s="80">
        <f t="shared" si="85"/>
        <v>0</v>
      </c>
      <c r="AF131" s="80">
        <f t="shared" si="85"/>
        <v>0</v>
      </c>
      <c r="AG131" s="80">
        <f t="shared" si="85"/>
        <v>0</v>
      </c>
      <c r="AH131" s="80">
        <f t="shared" si="85"/>
        <v>0</v>
      </c>
      <c r="AI131" s="80">
        <f t="shared" si="85"/>
        <v>0</v>
      </c>
      <c r="AJ131" s="80">
        <f t="shared" si="85"/>
        <v>0</v>
      </c>
      <c r="AK131" s="80">
        <f t="shared" si="85"/>
        <v>0</v>
      </c>
      <c r="AL131" s="80">
        <f t="shared" si="85"/>
        <v>0</v>
      </c>
      <c r="AM131" s="80">
        <f t="shared" si="85"/>
        <v>0</v>
      </c>
      <c r="AN131" s="80">
        <f t="shared" si="85"/>
        <v>0</v>
      </c>
      <c r="AO131" s="80">
        <f t="shared" si="85"/>
        <v>0</v>
      </c>
      <c r="AP131" s="80">
        <f t="shared" si="85"/>
        <v>0</v>
      </c>
      <c r="AQ131" s="80">
        <f t="shared" si="85"/>
        <v>0</v>
      </c>
      <c r="AR131" s="80">
        <f t="shared" si="82"/>
        <v>0</v>
      </c>
      <c r="AS131" s="80">
        <f t="shared" si="82"/>
        <v>0</v>
      </c>
      <c r="AT131" s="80">
        <f t="shared" si="82"/>
        <v>0</v>
      </c>
      <c r="AU131" s="80">
        <f t="shared" si="82"/>
        <v>0</v>
      </c>
      <c r="AV131" s="80">
        <f t="shared" si="82"/>
        <v>0</v>
      </c>
      <c r="AW131" s="80">
        <f t="shared" si="82"/>
        <v>0</v>
      </c>
      <c r="AX131" s="80">
        <f t="shared" si="82"/>
        <v>0</v>
      </c>
      <c r="AY131" s="80">
        <f t="shared" si="82"/>
        <v>0</v>
      </c>
      <c r="AZ131" s="80">
        <f t="shared" si="82"/>
        <v>0</v>
      </c>
      <c r="BA131" s="80">
        <f t="shared" si="82"/>
        <v>0</v>
      </c>
      <c r="BB131" s="80">
        <f t="shared" si="82"/>
        <v>0</v>
      </c>
      <c r="BC131" s="80">
        <f t="shared" si="82"/>
        <v>0</v>
      </c>
      <c r="BD131" s="61"/>
      <c r="BE131" s="76">
        <f t="shared" si="84"/>
        <v>0</v>
      </c>
      <c r="BF131" s="76">
        <f t="shared" si="83"/>
        <v>0</v>
      </c>
      <c r="BG131" s="76">
        <f t="shared" si="83"/>
        <v>0</v>
      </c>
      <c r="BH131" s="76">
        <f t="shared" si="83"/>
        <v>0</v>
      </c>
    </row>
    <row r="132" spans="2:60" ht="21" customHeight="1" x14ac:dyDescent="0.35">
      <c r="B132" s="60" t="str">
        <f>$B$23</f>
        <v>Other (staff release for training and implementation activity)</v>
      </c>
      <c r="C132" s="48">
        <f>IF($C$23="","",$C$23)</f>
        <v>43678</v>
      </c>
      <c r="D132" s="48">
        <f t="shared" si="80"/>
        <v>44773</v>
      </c>
      <c r="E132" s="47">
        <f>IF(E$23="","",E$23)</f>
        <v>1</v>
      </c>
      <c r="F132" s="80"/>
      <c r="G132" s="76">
        <f>Other!C74*60</f>
        <v>0</v>
      </c>
      <c r="H132" s="80">
        <f t="shared" si="85"/>
        <v>0</v>
      </c>
      <c r="I132" s="80">
        <f t="shared" si="85"/>
        <v>0</v>
      </c>
      <c r="J132" s="80">
        <f t="shared" si="85"/>
        <v>0</v>
      </c>
      <c r="K132" s="80">
        <f t="shared" si="85"/>
        <v>0</v>
      </c>
      <c r="L132" s="80">
        <f t="shared" si="85"/>
        <v>0</v>
      </c>
      <c r="M132" s="80">
        <f t="shared" si="85"/>
        <v>0</v>
      </c>
      <c r="N132" s="80">
        <f t="shared" ref="N132:AQ132" si="86">IFERROR(MIN(1,MAX(0,(EOMONTH(N$4,0)+1-$C132)/(EDATE($C132,$E132)-$C132)))*$F132/12+IF(N$3=1,$G132/12,0),0)</f>
        <v>0</v>
      </c>
      <c r="O132" s="80">
        <f t="shared" si="86"/>
        <v>0</v>
      </c>
      <c r="P132" s="80">
        <f t="shared" si="86"/>
        <v>0</v>
      </c>
      <c r="Q132" s="80">
        <f t="shared" si="86"/>
        <v>0</v>
      </c>
      <c r="R132" s="80">
        <f t="shared" si="86"/>
        <v>0</v>
      </c>
      <c r="S132" s="80">
        <f t="shared" si="86"/>
        <v>0</v>
      </c>
      <c r="T132" s="80">
        <f t="shared" si="86"/>
        <v>0</v>
      </c>
      <c r="U132" s="80">
        <f t="shared" si="86"/>
        <v>0</v>
      </c>
      <c r="V132" s="80">
        <f t="shared" si="86"/>
        <v>0</v>
      </c>
      <c r="W132" s="80">
        <f t="shared" si="86"/>
        <v>0</v>
      </c>
      <c r="X132" s="80">
        <f t="shared" si="86"/>
        <v>0</v>
      </c>
      <c r="Y132" s="80">
        <f t="shared" si="86"/>
        <v>0</v>
      </c>
      <c r="Z132" s="80">
        <f t="shared" si="86"/>
        <v>0</v>
      </c>
      <c r="AA132" s="80">
        <f t="shared" si="86"/>
        <v>0</v>
      </c>
      <c r="AB132" s="80">
        <f t="shared" si="86"/>
        <v>0</v>
      </c>
      <c r="AC132" s="80">
        <f t="shared" si="86"/>
        <v>0</v>
      </c>
      <c r="AD132" s="80">
        <f t="shared" si="86"/>
        <v>0</v>
      </c>
      <c r="AE132" s="80">
        <f t="shared" si="86"/>
        <v>0</v>
      </c>
      <c r="AF132" s="80">
        <f t="shared" si="86"/>
        <v>0</v>
      </c>
      <c r="AG132" s="80">
        <f t="shared" si="86"/>
        <v>0</v>
      </c>
      <c r="AH132" s="80">
        <f t="shared" si="86"/>
        <v>0</v>
      </c>
      <c r="AI132" s="80">
        <f t="shared" si="86"/>
        <v>0</v>
      </c>
      <c r="AJ132" s="80">
        <f t="shared" si="86"/>
        <v>0</v>
      </c>
      <c r="AK132" s="80">
        <f t="shared" si="86"/>
        <v>0</v>
      </c>
      <c r="AL132" s="80">
        <f t="shared" si="86"/>
        <v>0</v>
      </c>
      <c r="AM132" s="80">
        <f t="shared" si="86"/>
        <v>0</v>
      </c>
      <c r="AN132" s="80">
        <f t="shared" si="86"/>
        <v>0</v>
      </c>
      <c r="AO132" s="80">
        <f t="shared" si="86"/>
        <v>0</v>
      </c>
      <c r="AP132" s="80">
        <f t="shared" si="86"/>
        <v>0</v>
      </c>
      <c r="AQ132" s="80">
        <f t="shared" si="86"/>
        <v>0</v>
      </c>
      <c r="AR132" s="80">
        <f t="shared" si="82"/>
        <v>0</v>
      </c>
      <c r="AS132" s="80">
        <f t="shared" si="82"/>
        <v>0</v>
      </c>
      <c r="AT132" s="80">
        <f t="shared" si="82"/>
        <v>0</v>
      </c>
      <c r="AU132" s="80">
        <f t="shared" si="82"/>
        <v>0</v>
      </c>
      <c r="AV132" s="80">
        <f t="shared" si="82"/>
        <v>0</v>
      </c>
      <c r="AW132" s="80">
        <f t="shared" si="82"/>
        <v>0</v>
      </c>
      <c r="AX132" s="80">
        <f t="shared" si="82"/>
        <v>0</v>
      </c>
      <c r="AY132" s="80">
        <f t="shared" si="82"/>
        <v>0</v>
      </c>
      <c r="AZ132" s="80">
        <f t="shared" si="82"/>
        <v>0</v>
      </c>
      <c r="BA132" s="80">
        <f t="shared" si="82"/>
        <v>0</v>
      </c>
      <c r="BB132" s="80">
        <f t="shared" si="82"/>
        <v>0</v>
      </c>
      <c r="BC132" s="80">
        <f t="shared" si="82"/>
        <v>0</v>
      </c>
      <c r="BD132" s="61"/>
      <c r="BE132" s="76">
        <f t="shared" si="84"/>
        <v>0</v>
      </c>
      <c r="BF132" s="76">
        <f t="shared" si="83"/>
        <v>0</v>
      </c>
      <c r="BG132" s="76">
        <f t="shared" si="83"/>
        <v>0</v>
      </c>
      <c r="BH132" s="76">
        <f t="shared" si="83"/>
        <v>0</v>
      </c>
    </row>
    <row r="133" spans="2:60" ht="21" customHeight="1" x14ac:dyDescent="0.35">
      <c r="B133" s="49"/>
      <c r="C133" s="49"/>
      <c r="D133" s="49"/>
      <c r="E133" s="49"/>
    </row>
    <row r="134" spans="2:60" ht="21" customHeight="1" x14ac:dyDescent="0.35">
      <c r="B134" s="60" t="s">
        <v>209</v>
      </c>
      <c r="C134" s="48"/>
      <c r="D134" s="48"/>
      <c r="E134" s="47">
        <f>IF(E111="","",E111)</f>
        <v>1</v>
      </c>
      <c r="F134" s="19">
        <f>SUM(F116:F132)</f>
        <v>9360.0000000000018</v>
      </c>
      <c r="H134" s="80">
        <f>SUM(H116:H132)</f>
        <v>780.00000000000011</v>
      </c>
      <c r="I134" s="80">
        <f t="shared" ref="I134:AQ134" si="87">SUM(I116:I132)</f>
        <v>780.00000000000011</v>
      </c>
      <c r="J134" s="80">
        <f t="shared" si="87"/>
        <v>780.00000000000011</v>
      </c>
      <c r="K134" s="80">
        <f t="shared" si="87"/>
        <v>780.00000000000011</v>
      </c>
      <c r="L134" s="80">
        <f t="shared" si="87"/>
        <v>780.00000000000011</v>
      </c>
      <c r="M134" s="80">
        <f t="shared" si="87"/>
        <v>780.00000000000011</v>
      </c>
      <c r="N134" s="80">
        <f t="shared" si="87"/>
        <v>780.00000000000011</v>
      </c>
      <c r="O134" s="80">
        <f t="shared" si="87"/>
        <v>780.00000000000011</v>
      </c>
      <c r="P134" s="80">
        <f t="shared" si="87"/>
        <v>780.00000000000011</v>
      </c>
      <c r="Q134" s="80">
        <f t="shared" si="87"/>
        <v>780.00000000000011</v>
      </c>
      <c r="R134" s="80">
        <f t="shared" si="87"/>
        <v>780.00000000000011</v>
      </c>
      <c r="S134" s="80">
        <f t="shared" si="87"/>
        <v>780.00000000000011</v>
      </c>
      <c r="T134" s="80">
        <f t="shared" si="87"/>
        <v>780.00000000000011</v>
      </c>
      <c r="U134" s="80">
        <f t="shared" si="87"/>
        <v>780.00000000000011</v>
      </c>
      <c r="V134" s="80">
        <f t="shared" si="87"/>
        <v>780.00000000000011</v>
      </c>
      <c r="W134" s="80">
        <f t="shared" si="87"/>
        <v>780.00000000000011</v>
      </c>
      <c r="X134" s="80">
        <f t="shared" si="87"/>
        <v>780.00000000000011</v>
      </c>
      <c r="Y134" s="80">
        <f t="shared" si="87"/>
        <v>780.00000000000011</v>
      </c>
      <c r="Z134" s="80">
        <f t="shared" si="87"/>
        <v>780.00000000000011</v>
      </c>
      <c r="AA134" s="80">
        <f t="shared" si="87"/>
        <v>780.00000000000011</v>
      </c>
      <c r="AB134" s="80">
        <f t="shared" si="87"/>
        <v>780.00000000000011</v>
      </c>
      <c r="AC134" s="80">
        <f t="shared" si="87"/>
        <v>780.00000000000011</v>
      </c>
      <c r="AD134" s="80">
        <f t="shared" si="87"/>
        <v>780.00000000000011</v>
      </c>
      <c r="AE134" s="80">
        <f t="shared" si="87"/>
        <v>780.00000000000011</v>
      </c>
      <c r="AF134" s="80">
        <f t="shared" si="87"/>
        <v>780.00000000000011</v>
      </c>
      <c r="AG134" s="80">
        <f t="shared" si="87"/>
        <v>780.00000000000011</v>
      </c>
      <c r="AH134" s="80">
        <f t="shared" si="87"/>
        <v>780.00000000000011</v>
      </c>
      <c r="AI134" s="80">
        <f t="shared" si="87"/>
        <v>780.00000000000011</v>
      </c>
      <c r="AJ134" s="80">
        <f t="shared" si="87"/>
        <v>780.00000000000011</v>
      </c>
      <c r="AK134" s="80">
        <f t="shared" si="87"/>
        <v>780.00000000000011</v>
      </c>
      <c r="AL134" s="80">
        <f t="shared" si="87"/>
        <v>780.00000000000011</v>
      </c>
      <c r="AM134" s="80">
        <f t="shared" si="87"/>
        <v>780.00000000000011</v>
      </c>
      <c r="AN134" s="80">
        <f t="shared" si="87"/>
        <v>780.00000000000011</v>
      </c>
      <c r="AO134" s="80">
        <f t="shared" si="87"/>
        <v>780.00000000000011</v>
      </c>
      <c r="AP134" s="80">
        <f t="shared" si="87"/>
        <v>780.00000000000011</v>
      </c>
      <c r="AQ134" s="80">
        <f t="shared" si="87"/>
        <v>780.00000000000011</v>
      </c>
      <c r="AR134" s="80">
        <f t="shared" ref="AR134:BB134" si="88">SUM(AR116:AR132)</f>
        <v>780.00000000000011</v>
      </c>
      <c r="AS134" s="80">
        <f t="shared" si="88"/>
        <v>780.00000000000011</v>
      </c>
      <c r="AT134" s="80">
        <f t="shared" si="88"/>
        <v>780.00000000000011</v>
      </c>
      <c r="AU134" s="80">
        <f t="shared" si="88"/>
        <v>780.00000000000011</v>
      </c>
      <c r="AV134" s="80">
        <f t="shared" si="88"/>
        <v>780.00000000000011</v>
      </c>
      <c r="AW134" s="80">
        <f t="shared" si="88"/>
        <v>780.00000000000011</v>
      </c>
      <c r="AX134" s="80">
        <f t="shared" si="88"/>
        <v>780.00000000000011</v>
      </c>
      <c r="AY134" s="80">
        <f t="shared" si="88"/>
        <v>780.00000000000011</v>
      </c>
      <c r="AZ134" s="80">
        <f t="shared" si="88"/>
        <v>780.00000000000011</v>
      </c>
      <c r="BA134" s="80">
        <f t="shared" si="88"/>
        <v>780.00000000000011</v>
      </c>
      <c r="BB134" s="80">
        <f t="shared" si="88"/>
        <v>780.00000000000011</v>
      </c>
      <c r="BC134" s="80">
        <f>SUM(BC116:BC132)</f>
        <v>780.00000000000011</v>
      </c>
      <c r="BD134" s="61"/>
      <c r="BE134" s="80">
        <f>SUMIF($H$3:$BD$3,BE$3,$H134:$BD134)</f>
        <v>9360.0000000000018</v>
      </c>
      <c r="BF134" s="80">
        <f t="shared" ref="BF134:BH134" si="89">SUMIF($H$3:$BD$3,BF$3,$H134:$BD134)</f>
        <v>9360.0000000000018</v>
      </c>
      <c r="BG134" s="80">
        <f t="shared" si="89"/>
        <v>9360.0000000000018</v>
      </c>
      <c r="BH134" s="80">
        <f t="shared" si="89"/>
        <v>9360.0000000000018</v>
      </c>
    </row>
    <row r="136" spans="2:60" ht="21" customHeight="1" x14ac:dyDescent="0.35">
      <c r="B136" s="58" t="s">
        <v>126</v>
      </c>
      <c r="C136" s="53" t="s">
        <v>58</v>
      </c>
      <c r="D136" s="53" t="s">
        <v>153</v>
      </c>
      <c r="E136" s="53" t="s">
        <v>59</v>
      </c>
      <c r="F136" s="53" t="s">
        <v>29</v>
      </c>
      <c r="G136" s="53" t="s">
        <v>307</v>
      </c>
      <c r="H136" s="59">
        <f>H$4</f>
        <v>43708</v>
      </c>
      <c r="I136" s="59">
        <f t="shared" ref="I136:BC136" si="90">I$4</f>
        <v>43738</v>
      </c>
      <c r="J136" s="59">
        <f t="shared" si="90"/>
        <v>43769</v>
      </c>
      <c r="K136" s="59">
        <f t="shared" si="90"/>
        <v>43799</v>
      </c>
      <c r="L136" s="59">
        <f t="shared" si="90"/>
        <v>43830</v>
      </c>
      <c r="M136" s="59">
        <f t="shared" si="90"/>
        <v>43861</v>
      </c>
      <c r="N136" s="59">
        <f t="shared" si="90"/>
        <v>43890</v>
      </c>
      <c r="O136" s="59">
        <f t="shared" si="90"/>
        <v>43921</v>
      </c>
      <c r="P136" s="59">
        <f t="shared" si="90"/>
        <v>43951</v>
      </c>
      <c r="Q136" s="59">
        <f t="shared" si="90"/>
        <v>43982</v>
      </c>
      <c r="R136" s="59">
        <f t="shared" si="90"/>
        <v>44012</v>
      </c>
      <c r="S136" s="59">
        <f t="shared" si="90"/>
        <v>44043</v>
      </c>
      <c r="T136" s="59">
        <f t="shared" si="90"/>
        <v>44074</v>
      </c>
      <c r="U136" s="59">
        <f t="shared" si="90"/>
        <v>44104</v>
      </c>
      <c r="V136" s="59">
        <f t="shared" si="90"/>
        <v>44135</v>
      </c>
      <c r="W136" s="59">
        <f t="shared" si="90"/>
        <v>44165</v>
      </c>
      <c r="X136" s="59">
        <f t="shared" si="90"/>
        <v>44196</v>
      </c>
      <c r="Y136" s="59">
        <f t="shared" si="90"/>
        <v>44227</v>
      </c>
      <c r="Z136" s="59">
        <f t="shared" si="90"/>
        <v>44255</v>
      </c>
      <c r="AA136" s="59">
        <f t="shared" si="90"/>
        <v>44286</v>
      </c>
      <c r="AB136" s="59">
        <f t="shared" si="90"/>
        <v>44316</v>
      </c>
      <c r="AC136" s="59">
        <f t="shared" si="90"/>
        <v>44347</v>
      </c>
      <c r="AD136" s="59">
        <f t="shared" si="90"/>
        <v>44377</v>
      </c>
      <c r="AE136" s="59">
        <f t="shared" si="90"/>
        <v>44408</v>
      </c>
      <c r="AF136" s="59">
        <f t="shared" si="90"/>
        <v>44439</v>
      </c>
      <c r="AG136" s="59">
        <f t="shared" si="90"/>
        <v>44469</v>
      </c>
      <c r="AH136" s="59">
        <f t="shared" si="90"/>
        <v>44500</v>
      </c>
      <c r="AI136" s="59">
        <f t="shared" si="90"/>
        <v>44530</v>
      </c>
      <c r="AJ136" s="59">
        <f t="shared" si="90"/>
        <v>44561</v>
      </c>
      <c r="AK136" s="59">
        <f t="shared" si="90"/>
        <v>44592</v>
      </c>
      <c r="AL136" s="59">
        <f t="shared" si="90"/>
        <v>44620</v>
      </c>
      <c r="AM136" s="59">
        <f t="shared" si="90"/>
        <v>44651</v>
      </c>
      <c r="AN136" s="59">
        <f t="shared" si="90"/>
        <v>44681</v>
      </c>
      <c r="AO136" s="59">
        <f t="shared" si="90"/>
        <v>44712</v>
      </c>
      <c r="AP136" s="59">
        <f t="shared" si="90"/>
        <v>44742</v>
      </c>
      <c r="AQ136" s="59">
        <f t="shared" si="90"/>
        <v>44773</v>
      </c>
      <c r="AR136" s="59">
        <f t="shared" si="90"/>
        <v>44804</v>
      </c>
      <c r="AS136" s="59">
        <f t="shared" si="90"/>
        <v>44834</v>
      </c>
      <c r="AT136" s="59">
        <f t="shared" si="90"/>
        <v>44865</v>
      </c>
      <c r="AU136" s="59">
        <f t="shared" si="90"/>
        <v>44895</v>
      </c>
      <c r="AV136" s="59">
        <f t="shared" si="90"/>
        <v>44926</v>
      </c>
      <c r="AW136" s="59">
        <f t="shared" si="90"/>
        <v>44957</v>
      </c>
      <c r="AX136" s="59">
        <f t="shared" si="90"/>
        <v>44985</v>
      </c>
      <c r="AY136" s="59">
        <f t="shared" si="90"/>
        <v>45016</v>
      </c>
      <c r="AZ136" s="59">
        <f t="shared" si="90"/>
        <v>45046</v>
      </c>
      <c r="BA136" s="59">
        <f t="shared" si="90"/>
        <v>45077</v>
      </c>
      <c r="BB136" s="59">
        <f t="shared" si="90"/>
        <v>45107</v>
      </c>
      <c r="BC136" s="59">
        <f t="shared" si="90"/>
        <v>45138</v>
      </c>
      <c r="BE136" s="72">
        <f>BE$3</f>
        <v>1</v>
      </c>
      <c r="BF136" s="72">
        <f>BF$3</f>
        <v>2</v>
      </c>
      <c r="BG136" s="72">
        <f>BG$3</f>
        <v>3</v>
      </c>
      <c r="BH136" s="72">
        <f>BH$3</f>
        <v>4</v>
      </c>
    </row>
    <row r="137" spans="2:60" ht="21" customHeight="1" x14ac:dyDescent="0.35">
      <c r="B137" s="60" t="str">
        <f>$B$7</f>
        <v>HCH Capitation Funding - Implementation</v>
      </c>
      <c r="C137" s="48">
        <f>IF($C$7="","",$C$7)</f>
        <v>43678</v>
      </c>
      <c r="D137" s="48">
        <f t="shared" ref="D137:D153" si="91">IF(D116="","",D116)</f>
        <v>44773</v>
      </c>
      <c r="E137" s="47">
        <f>IF(E$7="","",E$7)</f>
        <v>1</v>
      </c>
      <c r="F137" s="80"/>
      <c r="G137" s="76"/>
      <c r="H137" s="80"/>
      <c r="I137" s="80"/>
      <c r="J137" s="80"/>
      <c r="K137" s="80"/>
      <c r="L137" s="80"/>
      <c r="M137" s="80"/>
      <c r="N137" s="80"/>
      <c r="O137" s="80"/>
      <c r="P137" s="80"/>
      <c r="Q137" s="80"/>
      <c r="R137" s="80"/>
      <c r="S137" s="80"/>
      <c r="T137" s="80"/>
      <c r="U137" s="80"/>
      <c r="V137" s="80"/>
      <c r="W137" s="80"/>
      <c r="X137" s="80"/>
      <c r="Y137" s="80"/>
      <c r="Z137" s="80"/>
      <c r="AA137" s="80"/>
      <c r="AB137" s="80"/>
      <c r="AC137" s="80"/>
      <c r="AD137" s="80"/>
      <c r="AE137" s="80"/>
      <c r="AF137" s="80"/>
      <c r="AG137" s="80"/>
      <c r="AH137" s="80"/>
      <c r="AI137" s="80"/>
      <c r="AJ137" s="80"/>
      <c r="AK137" s="80"/>
      <c r="AL137" s="80"/>
      <c r="AM137" s="80"/>
      <c r="AN137" s="80"/>
      <c r="AO137" s="80"/>
      <c r="AP137" s="80"/>
      <c r="AQ137" s="80"/>
      <c r="AR137" s="80"/>
      <c r="AS137" s="80"/>
      <c r="AT137" s="80"/>
      <c r="AU137" s="80"/>
      <c r="AV137" s="80"/>
      <c r="AW137" s="80"/>
      <c r="AX137" s="80"/>
      <c r="AY137" s="80"/>
      <c r="AZ137" s="80"/>
      <c r="BA137" s="80"/>
      <c r="BB137" s="80"/>
      <c r="BC137" s="80"/>
    </row>
    <row r="138" spans="2:60" ht="21" customHeight="1" x14ac:dyDescent="0.35">
      <c r="B138" s="60" t="str">
        <f>$B$8</f>
        <v>HCH Capitation Funding - At Risk</v>
      </c>
      <c r="C138" s="48">
        <f>IF($C$8="","",$C$8)</f>
        <v>43678</v>
      </c>
      <c r="D138" s="48">
        <f t="shared" si="91"/>
        <v>44773</v>
      </c>
      <c r="E138" s="47">
        <f>IF(E$8="","",E$8)</f>
        <v>1</v>
      </c>
      <c r="F138" s="80"/>
      <c r="G138" s="76"/>
      <c r="H138" s="80"/>
      <c r="I138" s="80"/>
      <c r="J138" s="80"/>
      <c r="K138" s="80"/>
      <c r="L138" s="80"/>
      <c r="M138" s="80"/>
      <c r="N138" s="80"/>
      <c r="O138" s="80"/>
      <c r="P138" s="80"/>
      <c r="Q138" s="80"/>
      <c r="R138" s="80"/>
      <c r="S138" s="80"/>
      <c r="T138" s="80"/>
      <c r="U138" s="80"/>
      <c r="V138" s="80"/>
      <c r="W138" s="80"/>
      <c r="X138" s="80"/>
      <c r="Y138" s="80"/>
      <c r="Z138" s="80"/>
      <c r="AA138" s="80"/>
      <c r="AB138" s="80"/>
      <c r="AC138" s="80"/>
      <c r="AD138" s="80"/>
      <c r="AE138" s="80"/>
      <c r="AF138" s="80"/>
      <c r="AG138" s="80"/>
      <c r="AH138" s="80"/>
      <c r="AI138" s="80"/>
      <c r="AJ138" s="80"/>
      <c r="AK138" s="80"/>
      <c r="AL138" s="80"/>
      <c r="AM138" s="80"/>
      <c r="AN138" s="80"/>
      <c r="AO138" s="80"/>
      <c r="AP138" s="80"/>
      <c r="AQ138" s="80"/>
      <c r="AR138" s="80"/>
      <c r="AS138" s="80"/>
      <c r="AT138" s="80"/>
      <c r="AU138" s="80"/>
      <c r="AV138" s="80"/>
      <c r="AW138" s="80"/>
      <c r="AX138" s="80"/>
      <c r="AY138" s="80"/>
      <c r="AZ138" s="80"/>
      <c r="BA138" s="80"/>
      <c r="BB138" s="80"/>
      <c r="BC138" s="80"/>
    </row>
    <row r="139" spans="2:60" ht="21" customHeight="1" x14ac:dyDescent="0.35">
      <c r="B139" s="60" t="str">
        <f>$B$9</f>
        <v>Equity</v>
      </c>
      <c r="C139" s="48" t="str">
        <f>IF($C$9="","",$C$9)</f>
        <v/>
      </c>
      <c r="D139" s="48" t="str">
        <f t="shared" si="91"/>
        <v/>
      </c>
      <c r="E139" s="47" t="str">
        <f>IF(E$9="","",E$9)</f>
        <v/>
      </c>
      <c r="F139" s="80"/>
      <c r="G139" s="76"/>
      <c r="H139" s="80">
        <f t="shared" ref="H139:AQ146" si="92">IFERROR(MIN(1,MAX(0,(EOMONTH(H$4,0)+1-$C139)/(EDATE($C139,$E139)-$C139)))*$F139/12+IF(H$3=1,$G139/12,0),0)</f>
        <v>0</v>
      </c>
      <c r="I139" s="80">
        <f t="shared" si="92"/>
        <v>0</v>
      </c>
      <c r="J139" s="80">
        <f t="shared" si="92"/>
        <v>0</v>
      </c>
      <c r="K139" s="80">
        <f t="shared" si="92"/>
        <v>0</v>
      </c>
      <c r="L139" s="80">
        <f t="shared" si="92"/>
        <v>0</v>
      </c>
      <c r="M139" s="80">
        <f t="shared" si="92"/>
        <v>0</v>
      </c>
      <c r="N139" s="80">
        <f t="shared" si="92"/>
        <v>0</v>
      </c>
      <c r="O139" s="80">
        <f t="shared" si="92"/>
        <v>0</v>
      </c>
      <c r="P139" s="80">
        <f t="shared" si="92"/>
        <v>0</v>
      </c>
      <c r="Q139" s="80">
        <f t="shared" si="92"/>
        <v>0</v>
      </c>
      <c r="R139" s="80">
        <f t="shared" si="92"/>
        <v>0</v>
      </c>
      <c r="S139" s="80">
        <f t="shared" si="92"/>
        <v>0</v>
      </c>
      <c r="T139" s="80">
        <f t="shared" si="92"/>
        <v>0</v>
      </c>
      <c r="U139" s="80">
        <f t="shared" si="92"/>
        <v>0</v>
      </c>
      <c r="V139" s="80">
        <f t="shared" si="92"/>
        <v>0</v>
      </c>
      <c r="W139" s="80">
        <f t="shared" si="92"/>
        <v>0</v>
      </c>
      <c r="X139" s="80">
        <f t="shared" si="92"/>
        <v>0</v>
      </c>
      <c r="Y139" s="80">
        <f t="shared" si="92"/>
        <v>0</v>
      </c>
      <c r="Z139" s="80">
        <f t="shared" si="92"/>
        <v>0</v>
      </c>
      <c r="AA139" s="80">
        <f t="shared" si="92"/>
        <v>0</v>
      </c>
      <c r="AB139" s="80">
        <f t="shared" si="92"/>
        <v>0</v>
      </c>
      <c r="AC139" s="80">
        <f t="shared" si="92"/>
        <v>0</v>
      </c>
      <c r="AD139" s="80">
        <f t="shared" si="92"/>
        <v>0</v>
      </c>
      <c r="AE139" s="80">
        <f t="shared" si="92"/>
        <v>0</v>
      </c>
      <c r="AF139" s="80">
        <f t="shared" si="92"/>
        <v>0</v>
      </c>
      <c r="AG139" s="80">
        <f t="shared" si="92"/>
        <v>0</v>
      </c>
      <c r="AH139" s="80">
        <f t="shared" si="92"/>
        <v>0</v>
      </c>
      <c r="AI139" s="80">
        <f t="shared" si="92"/>
        <v>0</v>
      </c>
      <c r="AJ139" s="80">
        <f t="shared" si="92"/>
        <v>0</v>
      </c>
      <c r="AK139" s="80">
        <f t="shared" si="92"/>
        <v>0</v>
      </c>
      <c r="AL139" s="80">
        <f t="shared" si="92"/>
        <v>0</v>
      </c>
      <c r="AM139" s="80">
        <f t="shared" si="92"/>
        <v>0</v>
      </c>
      <c r="AN139" s="80">
        <f t="shared" si="92"/>
        <v>0</v>
      </c>
      <c r="AO139" s="80">
        <f t="shared" si="92"/>
        <v>0</v>
      </c>
      <c r="AP139" s="80">
        <f t="shared" si="92"/>
        <v>0</v>
      </c>
      <c r="AQ139" s="80">
        <f t="shared" si="92"/>
        <v>0</v>
      </c>
      <c r="AR139" s="80">
        <f t="shared" ref="AR139:BC145" si="93">IFERROR(MIN(1,MAX(0,(EOMONTH(AR$4,0)+1-$C139)/(EDATE($C139,$E139)-$C139)))*$F139/12+IF(AR$3=1,$G139/12,0),0)</f>
        <v>0</v>
      </c>
      <c r="AS139" s="80">
        <f t="shared" si="93"/>
        <v>0</v>
      </c>
      <c r="AT139" s="80">
        <f t="shared" si="93"/>
        <v>0</v>
      </c>
      <c r="AU139" s="80">
        <f t="shared" si="93"/>
        <v>0</v>
      </c>
      <c r="AV139" s="80">
        <f t="shared" si="93"/>
        <v>0</v>
      </c>
      <c r="AW139" s="80">
        <f t="shared" si="93"/>
        <v>0</v>
      </c>
      <c r="AX139" s="80">
        <f t="shared" si="93"/>
        <v>0</v>
      </c>
      <c r="AY139" s="80">
        <f t="shared" si="93"/>
        <v>0</v>
      </c>
      <c r="AZ139" s="80">
        <f t="shared" si="93"/>
        <v>0</v>
      </c>
      <c r="BA139" s="80">
        <f t="shared" si="93"/>
        <v>0</v>
      </c>
      <c r="BB139" s="80">
        <f t="shared" si="93"/>
        <v>0</v>
      </c>
      <c r="BC139" s="80">
        <f t="shared" si="93"/>
        <v>0</v>
      </c>
      <c r="BE139" s="80">
        <f>SUMIF($H$3:$BD$3,BE$3,$H139:$BD139)</f>
        <v>0</v>
      </c>
      <c r="BF139" s="80">
        <f t="shared" ref="BF139:BH153" si="94">SUMIF($H$3:$BD$3,BF$3,$H139:$BD139)</f>
        <v>0</v>
      </c>
      <c r="BG139" s="80">
        <f t="shared" si="94"/>
        <v>0</v>
      </c>
      <c r="BH139" s="80">
        <f t="shared" si="94"/>
        <v>0</v>
      </c>
    </row>
    <row r="140" spans="2:60" ht="21" customHeight="1" x14ac:dyDescent="0.35">
      <c r="B140" s="60" t="str">
        <f>$B$10</f>
        <v>Call Management</v>
      </c>
      <c r="C140" s="48">
        <f>'Call Management'!C7</f>
        <v>43678</v>
      </c>
      <c r="D140" s="48" t="str">
        <f t="shared" si="91"/>
        <v/>
      </c>
      <c r="E140" s="47">
        <f>'Call Management'!C8</f>
        <v>1</v>
      </c>
      <c r="F140" s="80">
        <f>'Call Management'!C5</f>
        <v>115200</v>
      </c>
      <c r="G140" s="76"/>
      <c r="H140" s="80">
        <f t="shared" si="92"/>
        <v>9600</v>
      </c>
      <c r="I140" s="80">
        <f t="shared" si="92"/>
        <v>9600</v>
      </c>
      <c r="J140" s="80">
        <f t="shared" si="92"/>
        <v>9600</v>
      </c>
      <c r="K140" s="80">
        <f t="shared" si="92"/>
        <v>9600</v>
      </c>
      <c r="L140" s="80">
        <f t="shared" si="92"/>
        <v>9600</v>
      </c>
      <c r="M140" s="80">
        <f t="shared" si="92"/>
        <v>9600</v>
      </c>
      <c r="N140" s="80">
        <f t="shared" si="92"/>
        <v>9600</v>
      </c>
      <c r="O140" s="80">
        <f t="shared" si="92"/>
        <v>9600</v>
      </c>
      <c r="P140" s="80">
        <f t="shared" si="92"/>
        <v>9600</v>
      </c>
      <c r="Q140" s="80">
        <f t="shared" si="92"/>
        <v>9600</v>
      </c>
      <c r="R140" s="80">
        <f t="shared" si="92"/>
        <v>9600</v>
      </c>
      <c r="S140" s="80">
        <f t="shared" si="92"/>
        <v>9600</v>
      </c>
      <c r="T140" s="80">
        <f t="shared" si="92"/>
        <v>9600</v>
      </c>
      <c r="U140" s="80">
        <f t="shared" si="92"/>
        <v>9600</v>
      </c>
      <c r="V140" s="80">
        <f t="shared" si="92"/>
        <v>9600</v>
      </c>
      <c r="W140" s="80">
        <f t="shared" si="92"/>
        <v>9600</v>
      </c>
      <c r="X140" s="80">
        <f t="shared" si="92"/>
        <v>9600</v>
      </c>
      <c r="Y140" s="80">
        <f t="shared" si="92"/>
        <v>9600</v>
      </c>
      <c r="Z140" s="80">
        <f t="shared" si="92"/>
        <v>9600</v>
      </c>
      <c r="AA140" s="80">
        <f t="shared" si="92"/>
        <v>9600</v>
      </c>
      <c r="AB140" s="80">
        <f t="shared" si="92"/>
        <v>9600</v>
      </c>
      <c r="AC140" s="80">
        <f t="shared" si="92"/>
        <v>9600</v>
      </c>
      <c r="AD140" s="80">
        <f t="shared" si="92"/>
        <v>9600</v>
      </c>
      <c r="AE140" s="80">
        <f t="shared" si="92"/>
        <v>9600</v>
      </c>
      <c r="AF140" s="80">
        <f t="shared" si="92"/>
        <v>9600</v>
      </c>
      <c r="AG140" s="80">
        <f t="shared" si="92"/>
        <v>9600</v>
      </c>
      <c r="AH140" s="80">
        <f t="shared" si="92"/>
        <v>9600</v>
      </c>
      <c r="AI140" s="80">
        <f t="shared" si="92"/>
        <v>9600</v>
      </c>
      <c r="AJ140" s="80">
        <f t="shared" si="92"/>
        <v>9600</v>
      </c>
      <c r="AK140" s="80">
        <f t="shared" si="92"/>
        <v>9600</v>
      </c>
      <c r="AL140" s="80">
        <f t="shared" si="92"/>
        <v>9600</v>
      </c>
      <c r="AM140" s="80">
        <f t="shared" si="92"/>
        <v>9600</v>
      </c>
      <c r="AN140" s="80">
        <f t="shared" si="92"/>
        <v>9600</v>
      </c>
      <c r="AO140" s="80">
        <f t="shared" si="92"/>
        <v>9600</v>
      </c>
      <c r="AP140" s="80">
        <f t="shared" si="92"/>
        <v>9600</v>
      </c>
      <c r="AQ140" s="80">
        <f t="shared" si="92"/>
        <v>9600</v>
      </c>
      <c r="AR140" s="80">
        <f t="shared" si="93"/>
        <v>9600</v>
      </c>
      <c r="AS140" s="80">
        <f t="shared" si="93"/>
        <v>9600</v>
      </c>
      <c r="AT140" s="80">
        <f t="shared" si="93"/>
        <v>9600</v>
      </c>
      <c r="AU140" s="80">
        <f t="shared" si="93"/>
        <v>9600</v>
      </c>
      <c r="AV140" s="80">
        <f t="shared" si="93"/>
        <v>9600</v>
      </c>
      <c r="AW140" s="80">
        <f t="shared" si="93"/>
        <v>9600</v>
      </c>
      <c r="AX140" s="80">
        <f t="shared" si="93"/>
        <v>9600</v>
      </c>
      <c r="AY140" s="80">
        <f t="shared" si="93"/>
        <v>9600</v>
      </c>
      <c r="AZ140" s="80">
        <f t="shared" si="93"/>
        <v>9600</v>
      </c>
      <c r="BA140" s="80">
        <f t="shared" si="93"/>
        <v>9600</v>
      </c>
      <c r="BB140" s="80">
        <f t="shared" si="93"/>
        <v>9600</v>
      </c>
      <c r="BC140" s="80">
        <f t="shared" si="93"/>
        <v>9600</v>
      </c>
      <c r="BE140" s="80">
        <f t="shared" ref="BE140:BE153" si="95">SUMIF($H$3:$BD$3,BE$3,$H140:$BD140)</f>
        <v>115200</v>
      </c>
      <c r="BF140" s="80">
        <f t="shared" si="94"/>
        <v>115200</v>
      </c>
      <c r="BG140" s="80">
        <f t="shared" si="94"/>
        <v>115200</v>
      </c>
      <c r="BH140" s="80">
        <f t="shared" si="94"/>
        <v>115200</v>
      </c>
    </row>
    <row r="141" spans="2:60" ht="21" customHeight="1" x14ac:dyDescent="0.35">
      <c r="B141" s="60" t="str">
        <f>$B$11</f>
        <v>GP triage</v>
      </c>
      <c r="C141" s="48">
        <f>IF($C$11="","",$C$11)</f>
        <v>43739</v>
      </c>
      <c r="D141" s="48" t="str">
        <f t="shared" si="91"/>
        <v/>
      </c>
      <c r="E141" s="47">
        <f>IF(E$11="","",E$11)</f>
        <v>3</v>
      </c>
      <c r="F141" s="80">
        <f>'GP Triage'!K49</f>
        <v>0</v>
      </c>
      <c r="G141" s="76"/>
      <c r="H141" s="80">
        <f t="shared" si="92"/>
        <v>0</v>
      </c>
      <c r="I141" s="80">
        <f t="shared" si="92"/>
        <v>0</v>
      </c>
      <c r="J141" s="80">
        <f t="shared" si="92"/>
        <v>0</v>
      </c>
      <c r="K141" s="80">
        <f t="shared" si="92"/>
        <v>0</v>
      </c>
      <c r="L141" s="80">
        <f t="shared" si="92"/>
        <v>0</v>
      </c>
      <c r="M141" s="80">
        <f t="shared" si="92"/>
        <v>0</v>
      </c>
      <c r="N141" s="80">
        <f t="shared" si="92"/>
        <v>0</v>
      </c>
      <c r="O141" s="80">
        <f t="shared" si="92"/>
        <v>0</v>
      </c>
      <c r="P141" s="80">
        <f t="shared" si="92"/>
        <v>0</v>
      </c>
      <c r="Q141" s="80">
        <f t="shared" si="92"/>
        <v>0</v>
      </c>
      <c r="R141" s="80">
        <f t="shared" si="92"/>
        <v>0</v>
      </c>
      <c r="S141" s="80">
        <f t="shared" si="92"/>
        <v>0</v>
      </c>
      <c r="T141" s="80">
        <f t="shared" si="92"/>
        <v>0</v>
      </c>
      <c r="U141" s="80">
        <f t="shared" si="92"/>
        <v>0</v>
      </c>
      <c r="V141" s="80">
        <f t="shared" si="92"/>
        <v>0</v>
      </c>
      <c r="W141" s="80">
        <f t="shared" si="92"/>
        <v>0</v>
      </c>
      <c r="X141" s="80">
        <f t="shared" si="92"/>
        <v>0</v>
      </c>
      <c r="Y141" s="80">
        <f t="shared" si="92"/>
        <v>0</v>
      </c>
      <c r="Z141" s="80">
        <f t="shared" si="92"/>
        <v>0</v>
      </c>
      <c r="AA141" s="80">
        <f t="shared" si="92"/>
        <v>0</v>
      </c>
      <c r="AB141" s="80">
        <f t="shared" si="92"/>
        <v>0</v>
      </c>
      <c r="AC141" s="80">
        <f t="shared" si="92"/>
        <v>0</v>
      </c>
      <c r="AD141" s="80">
        <f t="shared" si="92"/>
        <v>0</v>
      </c>
      <c r="AE141" s="80">
        <f t="shared" si="92"/>
        <v>0</v>
      </c>
      <c r="AF141" s="80">
        <f t="shared" si="92"/>
        <v>0</v>
      </c>
      <c r="AG141" s="80">
        <f t="shared" si="92"/>
        <v>0</v>
      </c>
      <c r="AH141" s="80">
        <f t="shared" si="92"/>
        <v>0</v>
      </c>
      <c r="AI141" s="80">
        <f t="shared" si="92"/>
        <v>0</v>
      </c>
      <c r="AJ141" s="80">
        <f t="shared" si="92"/>
        <v>0</v>
      </c>
      <c r="AK141" s="80">
        <f t="shared" si="92"/>
        <v>0</v>
      </c>
      <c r="AL141" s="80">
        <f t="shared" si="92"/>
        <v>0</v>
      </c>
      <c r="AM141" s="80">
        <f t="shared" si="92"/>
        <v>0</v>
      </c>
      <c r="AN141" s="80">
        <f t="shared" si="92"/>
        <v>0</v>
      </c>
      <c r="AO141" s="80">
        <f t="shared" si="92"/>
        <v>0</v>
      </c>
      <c r="AP141" s="80">
        <f t="shared" si="92"/>
        <v>0</v>
      </c>
      <c r="AQ141" s="80">
        <f t="shared" si="92"/>
        <v>0</v>
      </c>
      <c r="AR141" s="80">
        <f t="shared" si="93"/>
        <v>0</v>
      </c>
      <c r="AS141" s="80">
        <f t="shared" si="93"/>
        <v>0</v>
      </c>
      <c r="AT141" s="80">
        <f t="shared" si="93"/>
        <v>0</v>
      </c>
      <c r="AU141" s="80">
        <f t="shared" si="93"/>
        <v>0</v>
      </c>
      <c r="AV141" s="80">
        <f t="shared" si="93"/>
        <v>0</v>
      </c>
      <c r="AW141" s="80">
        <f t="shared" si="93"/>
        <v>0</v>
      </c>
      <c r="AX141" s="80">
        <f t="shared" si="93"/>
        <v>0</v>
      </c>
      <c r="AY141" s="80">
        <f t="shared" si="93"/>
        <v>0</v>
      </c>
      <c r="AZ141" s="80">
        <f t="shared" si="93"/>
        <v>0</v>
      </c>
      <c r="BA141" s="80">
        <f t="shared" si="93"/>
        <v>0</v>
      </c>
      <c r="BB141" s="80">
        <f t="shared" si="93"/>
        <v>0</v>
      </c>
      <c r="BC141" s="80">
        <f t="shared" si="93"/>
        <v>0</v>
      </c>
      <c r="BD141" s="61"/>
      <c r="BE141" s="80">
        <f t="shared" si="95"/>
        <v>0</v>
      </c>
      <c r="BF141" s="80">
        <f t="shared" si="94"/>
        <v>0</v>
      </c>
      <c r="BG141" s="80">
        <f t="shared" si="94"/>
        <v>0</v>
      </c>
      <c r="BH141" s="80">
        <f t="shared" si="94"/>
        <v>0</v>
      </c>
    </row>
    <row r="142" spans="2:60" ht="21" customHeight="1" x14ac:dyDescent="0.35">
      <c r="B142" s="60" t="str">
        <f>$B$12</f>
        <v>YOC</v>
      </c>
      <c r="C142" s="48">
        <f>IF($C$12="","",$C$12)</f>
        <v>43862</v>
      </c>
      <c r="D142" s="48" t="str">
        <f t="shared" si="91"/>
        <v/>
      </c>
      <c r="E142" s="47">
        <f>IF(E$12="","",E$12)</f>
        <v>36</v>
      </c>
      <c r="F142" s="80">
        <v>0</v>
      </c>
      <c r="G142" s="76"/>
      <c r="H142" s="80">
        <f t="shared" si="92"/>
        <v>0</v>
      </c>
      <c r="I142" s="80">
        <f t="shared" si="92"/>
        <v>0</v>
      </c>
      <c r="J142" s="80">
        <f t="shared" si="92"/>
        <v>0</v>
      </c>
      <c r="K142" s="80">
        <f t="shared" si="92"/>
        <v>0</v>
      </c>
      <c r="L142" s="80">
        <f t="shared" si="92"/>
        <v>0</v>
      </c>
      <c r="M142" s="80">
        <f t="shared" si="92"/>
        <v>0</v>
      </c>
      <c r="N142" s="80">
        <f t="shared" si="92"/>
        <v>0</v>
      </c>
      <c r="O142" s="80">
        <f t="shared" si="92"/>
        <v>0</v>
      </c>
      <c r="P142" s="80">
        <f t="shared" si="92"/>
        <v>0</v>
      </c>
      <c r="Q142" s="80">
        <f t="shared" si="92"/>
        <v>0</v>
      </c>
      <c r="R142" s="80">
        <f t="shared" si="92"/>
        <v>0</v>
      </c>
      <c r="S142" s="80">
        <f t="shared" si="92"/>
        <v>0</v>
      </c>
      <c r="T142" s="80">
        <f t="shared" si="92"/>
        <v>0</v>
      </c>
      <c r="U142" s="80">
        <f t="shared" si="92"/>
        <v>0</v>
      </c>
      <c r="V142" s="80">
        <f t="shared" si="92"/>
        <v>0</v>
      </c>
      <c r="W142" s="80">
        <f t="shared" si="92"/>
        <v>0</v>
      </c>
      <c r="X142" s="80">
        <f t="shared" si="92"/>
        <v>0</v>
      </c>
      <c r="Y142" s="80">
        <f t="shared" si="92"/>
        <v>0</v>
      </c>
      <c r="Z142" s="80">
        <f t="shared" si="92"/>
        <v>0</v>
      </c>
      <c r="AA142" s="80">
        <f t="shared" si="92"/>
        <v>0</v>
      </c>
      <c r="AB142" s="80">
        <f t="shared" si="92"/>
        <v>0</v>
      </c>
      <c r="AC142" s="80">
        <f t="shared" si="92"/>
        <v>0</v>
      </c>
      <c r="AD142" s="80">
        <f t="shared" si="92"/>
        <v>0</v>
      </c>
      <c r="AE142" s="80">
        <f t="shared" si="92"/>
        <v>0</v>
      </c>
      <c r="AF142" s="80">
        <f t="shared" si="92"/>
        <v>0</v>
      </c>
      <c r="AG142" s="80">
        <f t="shared" si="92"/>
        <v>0</v>
      </c>
      <c r="AH142" s="80">
        <f t="shared" si="92"/>
        <v>0</v>
      </c>
      <c r="AI142" s="80">
        <f t="shared" si="92"/>
        <v>0</v>
      </c>
      <c r="AJ142" s="80">
        <f t="shared" si="92"/>
        <v>0</v>
      </c>
      <c r="AK142" s="80">
        <f t="shared" si="92"/>
        <v>0</v>
      </c>
      <c r="AL142" s="80">
        <f t="shared" si="92"/>
        <v>0</v>
      </c>
      <c r="AM142" s="80">
        <f t="shared" si="92"/>
        <v>0</v>
      </c>
      <c r="AN142" s="80">
        <f t="shared" si="92"/>
        <v>0</v>
      </c>
      <c r="AO142" s="80">
        <f t="shared" si="92"/>
        <v>0</v>
      </c>
      <c r="AP142" s="80">
        <f t="shared" si="92"/>
        <v>0</v>
      </c>
      <c r="AQ142" s="80">
        <f t="shared" si="92"/>
        <v>0</v>
      </c>
      <c r="AR142" s="80">
        <f t="shared" si="93"/>
        <v>0</v>
      </c>
      <c r="AS142" s="80">
        <f t="shared" si="93"/>
        <v>0</v>
      </c>
      <c r="AT142" s="80">
        <f t="shared" si="93"/>
        <v>0</v>
      </c>
      <c r="AU142" s="80">
        <f t="shared" si="93"/>
        <v>0</v>
      </c>
      <c r="AV142" s="80">
        <f t="shared" si="93"/>
        <v>0</v>
      </c>
      <c r="AW142" s="80">
        <f t="shared" si="93"/>
        <v>0</v>
      </c>
      <c r="AX142" s="80">
        <f t="shared" si="93"/>
        <v>0</v>
      </c>
      <c r="AY142" s="80">
        <f t="shared" si="93"/>
        <v>0</v>
      </c>
      <c r="AZ142" s="80">
        <f t="shared" si="93"/>
        <v>0</v>
      </c>
      <c r="BA142" s="80">
        <f t="shared" si="93"/>
        <v>0</v>
      </c>
      <c r="BB142" s="80">
        <f t="shared" si="93"/>
        <v>0</v>
      </c>
      <c r="BC142" s="80">
        <f t="shared" si="93"/>
        <v>0</v>
      </c>
      <c r="BD142" s="61"/>
      <c r="BE142" s="80">
        <f t="shared" si="95"/>
        <v>0</v>
      </c>
      <c r="BF142" s="80">
        <f t="shared" si="94"/>
        <v>0</v>
      </c>
      <c r="BG142" s="80">
        <f t="shared" si="94"/>
        <v>0</v>
      </c>
      <c r="BH142" s="80">
        <f t="shared" si="94"/>
        <v>0</v>
      </c>
    </row>
    <row r="143" spans="2:60" ht="21" customHeight="1" x14ac:dyDescent="0.35">
      <c r="B143" s="60" t="str">
        <f>$B$13</f>
        <v>Extended hours</v>
      </c>
      <c r="C143" s="48">
        <f>IF($C$13="","",$C$13)</f>
        <v>44013</v>
      </c>
      <c r="D143" s="48" t="str">
        <f t="shared" si="91"/>
        <v/>
      </c>
      <c r="E143" s="47">
        <f>IF(E$13="","",E$13)</f>
        <v>1</v>
      </c>
      <c r="F143" s="80"/>
      <c r="G143" s="76"/>
      <c r="H143" s="80">
        <f t="shared" si="92"/>
        <v>0</v>
      </c>
      <c r="I143" s="80">
        <f t="shared" si="92"/>
        <v>0</v>
      </c>
      <c r="J143" s="80">
        <f t="shared" si="92"/>
        <v>0</v>
      </c>
      <c r="K143" s="80">
        <f t="shared" si="92"/>
        <v>0</v>
      </c>
      <c r="L143" s="80">
        <f t="shared" si="92"/>
        <v>0</v>
      </c>
      <c r="M143" s="80">
        <f t="shared" si="92"/>
        <v>0</v>
      </c>
      <c r="N143" s="80">
        <f t="shared" si="92"/>
        <v>0</v>
      </c>
      <c r="O143" s="80">
        <f t="shared" si="92"/>
        <v>0</v>
      </c>
      <c r="P143" s="80">
        <f t="shared" si="92"/>
        <v>0</v>
      </c>
      <c r="Q143" s="80">
        <f t="shared" si="92"/>
        <v>0</v>
      </c>
      <c r="R143" s="80">
        <f t="shared" si="92"/>
        <v>0</v>
      </c>
      <c r="S143" s="80">
        <f t="shared" si="92"/>
        <v>0</v>
      </c>
      <c r="T143" s="80">
        <f t="shared" si="92"/>
        <v>0</v>
      </c>
      <c r="U143" s="80">
        <f t="shared" si="92"/>
        <v>0</v>
      </c>
      <c r="V143" s="80">
        <f t="shared" si="92"/>
        <v>0</v>
      </c>
      <c r="W143" s="80">
        <f t="shared" si="92"/>
        <v>0</v>
      </c>
      <c r="X143" s="80">
        <f t="shared" si="92"/>
        <v>0</v>
      </c>
      <c r="Y143" s="80">
        <f t="shared" si="92"/>
        <v>0</v>
      </c>
      <c r="Z143" s="80">
        <f t="shared" si="92"/>
        <v>0</v>
      </c>
      <c r="AA143" s="80">
        <f t="shared" si="92"/>
        <v>0</v>
      </c>
      <c r="AB143" s="80">
        <f t="shared" si="92"/>
        <v>0</v>
      </c>
      <c r="AC143" s="80">
        <f t="shared" si="92"/>
        <v>0</v>
      </c>
      <c r="AD143" s="80">
        <f t="shared" si="92"/>
        <v>0</v>
      </c>
      <c r="AE143" s="80">
        <f t="shared" si="92"/>
        <v>0</v>
      </c>
      <c r="AF143" s="80">
        <f t="shared" si="92"/>
        <v>0</v>
      </c>
      <c r="AG143" s="80">
        <f t="shared" si="92"/>
        <v>0</v>
      </c>
      <c r="AH143" s="80">
        <f t="shared" si="92"/>
        <v>0</v>
      </c>
      <c r="AI143" s="80">
        <f t="shared" si="92"/>
        <v>0</v>
      </c>
      <c r="AJ143" s="80">
        <f t="shared" si="92"/>
        <v>0</v>
      </c>
      <c r="AK143" s="80">
        <f t="shared" si="92"/>
        <v>0</v>
      </c>
      <c r="AL143" s="80">
        <f t="shared" si="92"/>
        <v>0</v>
      </c>
      <c r="AM143" s="80">
        <f t="shared" si="92"/>
        <v>0</v>
      </c>
      <c r="AN143" s="80">
        <f t="shared" si="92"/>
        <v>0</v>
      </c>
      <c r="AO143" s="80">
        <f t="shared" si="92"/>
        <v>0</v>
      </c>
      <c r="AP143" s="80">
        <f t="shared" si="92"/>
        <v>0</v>
      </c>
      <c r="AQ143" s="80">
        <f t="shared" si="92"/>
        <v>0</v>
      </c>
      <c r="AR143" s="80">
        <f t="shared" si="93"/>
        <v>0</v>
      </c>
      <c r="AS143" s="80">
        <f t="shared" si="93"/>
        <v>0</v>
      </c>
      <c r="AT143" s="80">
        <f t="shared" si="93"/>
        <v>0</v>
      </c>
      <c r="AU143" s="80">
        <f t="shared" si="93"/>
        <v>0</v>
      </c>
      <c r="AV143" s="80">
        <f t="shared" si="93"/>
        <v>0</v>
      </c>
      <c r="AW143" s="80">
        <f t="shared" si="93"/>
        <v>0</v>
      </c>
      <c r="AX143" s="80">
        <f t="shared" si="93"/>
        <v>0</v>
      </c>
      <c r="AY143" s="80">
        <f t="shared" si="93"/>
        <v>0</v>
      </c>
      <c r="AZ143" s="80">
        <f t="shared" si="93"/>
        <v>0</v>
      </c>
      <c r="BA143" s="80">
        <f t="shared" si="93"/>
        <v>0</v>
      </c>
      <c r="BB143" s="80">
        <f t="shared" si="93"/>
        <v>0</v>
      </c>
      <c r="BC143" s="80">
        <f t="shared" si="93"/>
        <v>0</v>
      </c>
      <c r="BD143" s="61"/>
      <c r="BE143" s="80">
        <f t="shared" si="95"/>
        <v>0</v>
      </c>
      <c r="BF143" s="80">
        <f t="shared" si="94"/>
        <v>0</v>
      </c>
      <c r="BG143" s="80">
        <f t="shared" si="94"/>
        <v>0</v>
      </c>
      <c r="BH143" s="80">
        <f t="shared" si="94"/>
        <v>0</v>
      </c>
    </row>
    <row r="144" spans="2:60" ht="21" customHeight="1" x14ac:dyDescent="0.35">
      <c r="B144" s="60" t="str">
        <f>$B$14</f>
        <v>Patient Centered Appointments</v>
      </c>
      <c r="C144" s="48" t="str">
        <f>IF($C$14="","",$C$14)</f>
        <v/>
      </c>
      <c r="D144" s="48" t="str">
        <f t="shared" si="91"/>
        <v/>
      </c>
      <c r="E144" s="47" t="str">
        <f>IF(E$14="","",E$14)</f>
        <v/>
      </c>
      <c r="F144" s="80"/>
      <c r="G144" s="76"/>
      <c r="H144" s="80">
        <f t="shared" si="92"/>
        <v>0</v>
      </c>
      <c r="I144" s="80">
        <f t="shared" si="92"/>
        <v>0</v>
      </c>
      <c r="J144" s="80">
        <f t="shared" si="92"/>
        <v>0</v>
      </c>
      <c r="K144" s="80">
        <f t="shared" si="92"/>
        <v>0</v>
      </c>
      <c r="L144" s="80">
        <f t="shared" si="92"/>
        <v>0</v>
      </c>
      <c r="M144" s="80">
        <f t="shared" si="92"/>
        <v>0</v>
      </c>
      <c r="N144" s="80">
        <f t="shared" si="92"/>
        <v>0</v>
      </c>
      <c r="O144" s="80">
        <f t="shared" si="92"/>
        <v>0</v>
      </c>
      <c r="P144" s="80">
        <f t="shared" si="92"/>
        <v>0</v>
      </c>
      <c r="Q144" s="80">
        <f t="shared" si="92"/>
        <v>0</v>
      </c>
      <c r="R144" s="80">
        <f t="shared" si="92"/>
        <v>0</v>
      </c>
      <c r="S144" s="80">
        <f t="shared" si="92"/>
        <v>0</v>
      </c>
      <c r="T144" s="80">
        <f t="shared" si="92"/>
        <v>0</v>
      </c>
      <c r="U144" s="80">
        <f t="shared" si="92"/>
        <v>0</v>
      </c>
      <c r="V144" s="80">
        <f t="shared" si="92"/>
        <v>0</v>
      </c>
      <c r="W144" s="80">
        <f t="shared" si="92"/>
        <v>0</v>
      </c>
      <c r="X144" s="80">
        <f t="shared" si="92"/>
        <v>0</v>
      </c>
      <c r="Y144" s="80">
        <f t="shared" si="92"/>
        <v>0</v>
      </c>
      <c r="Z144" s="80">
        <f t="shared" si="92"/>
        <v>0</v>
      </c>
      <c r="AA144" s="80">
        <f t="shared" si="92"/>
        <v>0</v>
      </c>
      <c r="AB144" s="80">
        <f t="shared" si="92"/>
        <v>0</v>
      </c>
      <c r="AC144" s="80">
        <f t="shared" si="92"/>
        <v>0</v>
      </c>
      <c r="AD144" s="80">
        <f t="shared" si="92"/>
        <v>0</v>
      </c>
      <c r="AE144" s="80">
        <f t="shared" si="92"/>
        <v>0</v>
      </c>
      <c r="AF144" s="80">
        <f t="shared" si="92"/>
        <v>0</v>
      </c>
      <c r="AG144" s="80">
        <f t="shared" si="92"/>
        <v>0</v>
      </c>
      <c r="AH144" s="80">
        <f t="shared" si="92"/>
        <v>0</v>
      </c>
      <c r="AI144" s="80">
        <f t="shared" si="92"/>
        <v>0</v>
      </c>
      <c r="AJ144" s="80">
        <f t="shared" si="92"/>
        <v>0</v>
      </c>
      <c r="AK144" s="80">
        <f t="shared" si="92"/>
        <v>0</v>
      </c>
      <c r="AL144" s="80">
        <f t="shared" si="92"/>
        <v>0</v>
      </c>
      <c r="AM144" s="80">
        <f t="shared" si="92"/>
        <v>0</v>
      </c>
      <c r="AN144" s="80">
        <f t="shared" si="92"/>
        <v>0</v>
      </c>
      <c r="AO144" s="80">
        <f t="shared" si="92"/>
        <v>0</v>
      </c>
      <c r="AP144" s="80">
        <f t="shared" si="92"/>
        <v>0</v>
      </c>
      <c r="AQ144" s="80">
        <f t="shared" si="92"/>
        <v>0</v>
      </c>
      <c r="AR144" s="80">
        <f t="shared" si="93"/>
        <v>0</v>
      </c>
      <c r="AS144" s="80">
        <f t="shared" si="93"/>
        <v>0</v>
      </c>
      <c r="AT144" s="80">
        <f t="shared" si="93"/>
        <v>0</v>
      </c>
      <c r="AU144" s="80">
        <f t="shared" si="93"/>
        <v>0</v>
      </c>
      <c r="AV144" s="80">
        <f t="shared" si="93"/>
        <v>0</v>
      </c>
      <c r="AW144" s="80">
        <f t="shared" si="93"/>
        <v>0</v>
      </c>
      <c r="AX144" s="80">
        <f t="shared" si="93"/>
        <v>0</v>
      </c>
      <c r="AY144" s="80">
        <f t="shared" si="93"/>
        <v>0</v>
      </c>
      <c r="AZ144" s="80">
        <f t="shared" si="93"/>
        <v>0</v>
      </c>
      <c r="BA144" s="80">
        <f t="shared" si="93"/>
        <v>0</v>
      </c>
      <c r="BB144" s="80">
        <f t="shared" si="93"/>
        <v>0</v>
      </c>
      <c r="BC144" s="80">
        <f t="shared" si="93"/>
        <v>0</v>
      </c>
      <c r="BD144" s="61"/>
      <c r="BE144" s="80">
        <f t="shared" si="95"/>
        <v>0</v>
      </c>
      <c r="BF144" s="80">
        <f t="shared" si="94"/>
        <v>0</v>
      </c>
      <c r="BG144" s="80">
        <f t="shared" si="94"/>
        <v>0</v>
      </c>
      <c r="BH144" s="80">
        <f t="shared" si="94"/>
        <v>0</v>
      </c>
    </row>
    <row r="145" spans="2:60" ht="21" customHeight="1" x14ac:dyDescent="0.35">
      <c r="B145" s="60" t="str">
        <f>$B$15</f>
        <v>Clinical and administrative pre work</v>
      </c>
      <c r="C145" s="48" t="str">
        <f>IF($C$15="","",$C$15)</f>
        <v/>
      </c>
      <c r="D145" s="48" t="str">
        <f t="shared" si="91"/>
        <v/>
      </c>
      <c r="E145" s="47" t="str">
        <f>IF(E$15="","",E$15)</f>
        <v/>
      </c>
      <c r="F145" s="80"/>
      <c r="G145" s="76"/>
      <c r="H145" s="80">
        <f t="shared" si="92"/>
        <v>0</v>
      </c>
      <c r="I145" s="80">
        <f t="shared" si="92"/>
        <v>0</v>
      </c>
      <c r="J145" s="80">
        <f t="shared" si="92"/>
        <v>0</v>
      </c>
      <c r="K145" s="80">
        <f t="shared" si="92"/>
        <v>0</v>
      </c>
      <c r="L145" s="80">
        <f t="shared" si="92"/>
        <v>0</v>
      </c>
      <c r="M145" s="80">
        <f t="shared" si="92"/>
        <v>0</v>
      </c>
      <c r="N145" s="80">
        <f t="shared" si="92"/>
        <v>0</v>
      </c>
      <c r="O145" s="80">
        <f t="shared" si="92"/>
        <v>0</v>
      </c>
      <c r="P145" s="80">
        <f t="shared" si="92"/>
        <v>0</v>
      </c>
      <c r="Q145" s="80">
        <f t="shared" si="92"/>
        <v>0</v>
      </c>
      <c r="R145" s="80">
        <f t="shared" si="92"/>
        <v>0</v>
      </c>
      <c r="S145" s="80">
        <f t="shared" si="92"/>
        <v>0</v>
      </c>
      <c r="T145" s="80">
        <f t="shared" si="92"/>
        <v>0</v>
      </c>
      <c r="U145" s="80">
        <f t="shared" si="92"/>
        <v>0</v>
      </c>
      <c r="V145" s="80">
        <f t="shared" si="92"/>
        <v>0</v>
      </c>
      <c r="W145" s="80">
        <f t="shared" si="92"/>
        <v>0</v>
      </c>
      <c r="X145" s="80">
        <f t="shared" si="92"/>
        <v>0</v>
      </c>
      <c r="Y145" s="80">
        <f t="shared" si="92"/>
        <v>0</v>
      </c>
      <c r="Z145" s="80">
        <f t="shared" si="92"/>
        <v>0</v>
      </c>
      <c r="AA145" s="80">
        <f t="shared" si="92"/>
        <v>0</v>
      </c>
      <c r="AB145" s="80">
        <f t="shared" si="92"/>
        <v>0</v>
      </c>
      <c r="AC145" s="80">
        <f t="shared" si="92"/>
        <v>0</v>
      </c>
      <c r="AD145" s="80">
        <f t="shared" si="92"/>
        <v>0</v>
      </c>
      <c r="AE145" s="80">
        <f t="shared" si="92"/>
        <v>0</v>
      </c>
      <c r="AF145" s="80">
        <f t="shared" si="92"/>
        <v>0</v>
      </c>
      <c r="AG145" s="80">
        <f t="shared" si="92"/>
        <v>0</v>
      </c>
      <c r="AH145" s="80">
        <f t="shared" si="92"/>
        <v>0</v>
      </c>
      <c r="AI145" s="80">
        <f t="shared" si="92"/>
        <v>0</v>
      </c>
      <c r="AJ145" s="80">
        <f t="shared" si="92"/>
        <v>0</v>
      </c>
      <c r="AK145" s="80">
        <f t="shared" si="92"/>
        <v>0</v>
      </c>
      <c r="AL145" s="80">
        <f t="shared" si="92"/>
        <v>0</v>
      </c>
      <c r="AM145" s="80">
        <f t="shared" si="92"/>
        <v>0</v>
      </c>
      <c r="AN145" s="80">
        <f t="shared" si="92"/>
        <v>0</v>
      </c>
      <c r="AO145" s="80">
        <f t="shared" si="92"/>
        <v>0</v>
      </c>
      <c r="AP145" s="80">
        <f t="shared" si="92"/>
        <v>0</v>
      </c>
      <c r="AQ145" s="80">
        <f t="shared" si="92"/>
        <v>0</v>
      </c>
      <c r="AR145" s="80">
        <f t="shared" si="93"/>
        <v>0</v>
      </c>
      <c r="AS145" s="80">
        <f t="shared" si="93"/>
        <v>0</v>
      </c>
      <c r="AT145" s="80">
        <f t="shared" si="93"/>
        <v>0</v>
      </c>
      <c r="AU145" s="80">
        <f t="shared" si="93"/>
        <v>0</v>
      </c>
      <c r="AV145" s="80">
        <f t="shared" si="93"/>
        <v>0</v>
      </c>
      <c r="AW145" s="80">
        <f t="shared" si="93"/>
        <v>0</v>
      </c>
      <c r="AX145" s="80">
        <f t="shared" si="93"/>
        <v>0</v>
      </c>
      <c r="AY145" s="80">
        <f t="shared" si="93"/>
        <v>0</v>
      </c>
      <c r="AZ145" s="80">
        <f t="shared" si="93"/>
        <v>0</v>
      </c>
      <c r="BA145" s="80">
        <f t="shared" si="93"/>
        <v>0</v>
      </c>
      <c r="BB145" s="80">
        <f t="shared" si="93"/>
        <v>0</v>
      </c>
      <c r="BC145" s="80">
        <f t="shared" si="93"/>
        <v>0</v>
      </c>
      <c r="BD145" s="61"/>
      <c r="BE145" s="80">
        <f t="shared" si="95"/>
        <v>0</v>
      </c>
      <c r="BF145" s="80">
        <f t="shared" si="94"/>
        <v>0</v>
      </c>
      <c r="BG145" s="80">
        <f t="shared" si="94"/>
        <v>0</v>
      </c>
      <c r="BH145" s="80">
        <f t="shared" si="94"/>
        <v>0</v>
      </c>
    </row>
    <row r="146" spans="2:60" ht="21" customHeight="1" x14ac:dyDescent="0.35">
      <c r="B146" s="60" t="str">
        <f>$B$16</f>
        <v>Multi-discliplinary Team Meetings</v>
      </c>
      <c r="C146" s="48">
        <f>IF($C$16="","",$C$16)</f>
        <v>43862</v>
      </c>
      <c r="D146" s="48" t="str">
        <f t="shared" si="91"/>
        <v/>
      </c>
      <c r="E146" s="47">
        <f>IF(E$16="","",E$16)</f>
        <v>6</v>
      </c>
      <c r="F146" s="80">
        <f>MDT!C32</f>
        <v>0</v>
      </c>
      <c r="G146" s="76"/>
      <c r="H146" s="80">
        <f t="shared" si="92"/>
        <v>0</v>
      </c>
      <c r="I146" s="80">
        <f t="shared" si="92"/>
        <v>0</v>
      </c>
      <c r="J146" s="80">
        <f t="shared" si="92"/>
        <v>0</v>
      </c>
      <c r="K146" s="80">
        <f t="shared" ref="K146:BB146" si="96">IFERROR(MIN(1,MAX(0,(EOMONTH(K$4,0)+1-$C146)/(EDATE($C146,$E146)-$C146)))*$F146/12+IF(K$3=1,$G146/12,0),0)</f>
        <v>0</v>
      </c>
      <c r="L146" s="80">
        <f t="shared" si="96"/>
        <v>0</v>
      </c>
      <c r="M146" s="80">
        <f t="shared" si="96"/>
        <v>0</v>
      </c>
      <c r="N146" s="80">
        <f t="shared" si="96"/>
        <v>0</v>
      </c>
      <c r="O146" s="80">
        <f t="shared" si="96"/>
        <v>0</v>
      </c>
      <c r="P146" s="80">
        <f t="shared" si="96"/>
        <v>0</v>
      </c>
      <c r="Q146" s="80">
        <f t="shared" si="96"/>
        <v>0</v>
      </c>
      <c r="R146" s="80">
        <f t="shared" si="96"/>
        <v>0</v>
      </c>
      <c r="S146" s="80">
        <f t="shared" si="96"/>
        <v>0</v>
      </c>
      <c r="T146" s="80">
        <f t="shared" si="96"/>
        <v>0</v>
      </c>
      <c r="U146" s="80">
        <f t="shared" si="96"/>
        <v>0</v>
      </c>
      <c r="V146" s="80">
        <f t="shared" si="96"/>
        <v>0</v>
      </c>
      <c r="W146" s="80">
        <f t="shared" si="96"/>
        <v>0</v>
      </c>
      <c r="X146" s="80">
        <f t="shared" si="96"/>
        <v>0</v>
      </c>
      <c r="Y146" s="80">
        <f t="shared" si="96"/>
        <v>0</v>
      </c>
      <c r="Z146" s="80">
        <f t="shared" si="96"/>
        <v>0</v>
      </c>
      <c r="AA146" s="80">
        <f t="shared" si="96"/>
        <v>0</v>
      </c>
      <c r="AB146" s="80">
        <f t="shared" si="96"/>
        <v>0</v>
      </c>
      <c r="AC146" s="80">
        <f t="shared" si="96"/>
        <v>0</v>
      </c>
      <c r="AD146" s="80">
        <f t="shared" si="96"/>
        <v>0</v>
      </c>
      <c r="AE146" s="80">
        <f t="shared" si="96"/>
        <v>0</v>
      </c>
      <c r="AF146" s="80">
        <f t="shared" si="96"/>
        <v>0</v>
      </c>
      <c r="AG146" s="80">
        <f t="shared" si="96"/>
        <v>0</v>
      </c>
      <c r="AH146" s="80">
        <f t="shared" si="96"/>
        <v>0</v>
      </c>
      <c r="AI146" s="80">
        <f t="shared" si="96"/>
        <v>0</v>
      </c>
      <c r="AJ146" s="80">
        <f t="shared" si="96"/>
        <v>0</v>
      </c>
      <c r="AK146" s="80">
        <f t="shared" si="96"/>
        <v>0</v>
      </c>
      <c r="AL146" s="80">
        <f t="shared" si="96"/>
        <v>0</v>
      </c>
      <c r="AM146" s="80">
        <f t="shared" si="96"/>
        <v>0</v>
      </c>
      <c r="AN146" s="80">
        <f t="shared" si="96"/>
        <v>0</v>
      </c>
      <c r="AO146" s="80">
        <f t="shared" si="96"/>
        <v>0</v>
      </c>
      <c r="AP146" s="80">
        <f t="shared" si="96"/>
        <v>0</v>
      </c>
      <c r="AQ146" s="80">
        <f t="shared" si="96"/>
        <v>0</v>
      </c>
      <c r="AR146" s="80">
        <f t="shared" si="96"/>
        <v>0</v>
      </c>
      <c r="AS146" s="80">
        <f t="shared" si="96"/>
        <v>0</v>
      </c>
      <c r="AT146" s="80">
        <f t="shared" si="96"/>
        <v>0</v>
      </c>
      <c r="AU146" s="80">
        <f t="shared" si="96"/>
        <v>0</v>
      </c>
      <c r="AV146" s="80">
        <f t="shared" si="96"/>
        <v>0</v>
      </c>
      <c r="AW146" s="80">
        <f t="shared" si="96"/>
        <v>0</v>
      </c>
      <c r="AX146" s="80">
        <f t="shared" si="96"/>
        <v>0</v>
      </c>
      <c r="AY146" s="80">
        <f t="shared" si="96"/>
        <v>0</v>
      </c>
      <c r="AZ146" s="80">
        <f t="shared" si="96"/>
        <v>0</v>
      </c>
      <c r="BA146" s="80">
        <f t="shared" si="96"/>
        <v>0</v>
      </c>
      <c r="BB146" s="80">
        <f t="shared" si="96"/>
        <v>0</v>
      </c>
      <c r="BC146" s="80">
        <f t="shared" ref="BC146:BC153" si="97">IFERROR(MIN(1,MAX(0,(EOMONTH(BC$4,0)+1-$C146)/(EDATE($C146,$E146)-$C146)))*$F146/12+IF(BC$3=1,$G146/12,0),0)</f>
        <v>0</v>
      </c>
      <c r="BD146" s="61"/>
      <c r="BE146" s="80">
        <f t="shared" si="95"/>
        <v>0</v>
      </c>
      <c r="BF146" s="80">
        <f t="shared" si="94"/>
        <v>0</v>
      </c>
      <c r="BG146" s="80">
        <f t="shared" si="94"/>
        <v>0</v>
      </c>
      <c r="BH146" s="80">
        <f t="shared" si="94"/>
        <v>0</v>
      </c>
    </row>
    <row r="147" spans="2:60" ht="21" customHeight="1" x14ac:dyDescent="0.35">
      <c r="B147" s="60" t="str">
        <f>$B$17</f>
        <v>Huddles</v>
      </c>
      <c r="C147" s="48">
        <f>IF($C$17="","",$C$17)</f>
        <v>43678</v>
      </c>
      <c r="D147" s="48" t="str">
        <f t="shared" si="91"/>
        <v/>
      </c>
      <c r="E147" s="47">
        <f>IF(E$17="","",E$17)</f>
        <v>1</v>
      </c>
      <c r="F147" s="80">
        <f>Huddles!C27</f>
        <v>3900</v>
      </c>
      <c r="G147" s="76"/>
      <c r="H147" s="80">
        <f t="shared" ref="H147:AR153" si="98">IFERROR(MIN(1,MAX(0,(EOMONTH(H$4,0)+1-$C147)/(EDATE($C147,$E147)-$C147)))*$F147/12+IF(H$3=1,$G147/12,0),0)</f>
        <v>325</v>
      </c>
      <c r="I147" s="80">
        <f t="shared" si="98"/>
        <v>325</v>
      </c>
      <c r="J147" s="80">
        <f t="shared" si="98"/>
        <v>325</v>
      </c>
      <c r="K147" s="80">
        <f t="shared" si="98"/>
        <v>325</v>
      </c>
      <c r="L147" s="80">
        <f t="shared" si="98"/>
        <v>325</v>
      </c>
      <c r="M147" s="80">
        <f t="shared" si="98"/>
        <v>325</v>
      </c>
      <c r="N147" s="80">
        <f t="shared" si="98"/>
        <v>325</v>
      </c>
      <c r="O147" s="80">
        <f t="shared" si="98"/>
        <v>325</v>
      </c>
      <c r="P147" s="80">
        <f t="shared" si="98"/>
        <v>325</v>
      </c>
      <c r="Q147" s="80">
        <f t="shared" si="98"/>
        <v>325</v>
      </c>
      <c r="R147" s="80">
        <f t="shared" si="98"/>
        <v>325</v>
      </c>
      <c r="S147" s="80">
        <f t="shared" si="98"/>
        <v>325</v>
      </c>
      <c r="T147" s="80">
        <f t="shared" si="98"/>
        <v>325</v>
      </c>
      <c r="U147" s="80">
        <f t="shared" si="98"/>
        <v>325</v>
      </c>
      <c r="V147" s="80">
        <f t="shared" si="98"/>
        <v>325</v>
      </c>
      <c r="W147" s="80">
        <f t="shared" si="98"/>
        <v>325</v>
      </c>
      <c r="X147" s="80">
        <f t="shared" si="98"/>
        <v>325</v>
      </c>
      <c r="Y147" s="80">
        <f t="shared" si="98"/>
        <v>325</v>
      </c>
      <c r="Z147" s="80">
        <f t="shared" si="98"/>
        <v>325</v>
      </c>
      <c r="AA147" s="80">
        <f t="shared" si="98"/>
        <v>325</v>
      </c>
      <c r="AB147" s="80">
        <f t="shared" si="98"/>
        <v>325</v>
      </c>
      <c r="AC147" s="80">
        <f t="shared" si="98"/>
        <v>325</v>
      </c>
      <c r="AD147" s="80">
        <f t="shared" si="98"/>
        <v>325</v>
      </c>
      <c r="AE147" s="80">
        <f t="shared" si="98"/>
        <v>325</v>
      </c>
      <c r="AF147" s="80">
        <f t="shared" si="98"/>
        <v>325</v>
      </c>
      <c r="AG147" s="80">
        <f t="shared" si="98"/>
        <v>325</v>
      </c>
      <c r="AH147" s="80">
        <f t="shared" si="98"/>
        <v>325</v>
      </c>
      <c r="AI147" s="80">
        <f t="shared" si="98"/>
        <v>325</v>
      </c>
      <c r="AJ147" s="80">
        <f t="shared" si="98"/>
        <v>325</v>
      </c>
      <c r="AK147" s="80">
        <f t="shared" si="98"/>
        <v>325</v>
      </c>
      <c r="AL147" s="80">
        <f t="shared" si="98"/>
        <v>325</v>
      </c>
      <c r="AM147" s="80">
        <f t="shared" si="98"/>
        <v>325</v>
      </c>
      <c r="AN147" s="80">
        <f t="shared" si="98"/>
        <v>325</v>
      </c>
      <c r="AO147" s="80">
        <f t="shared" si="98"/>
        <v>325</v>
      </c>
      <c r="AP147" s="80">
        <f t="shared" si="98"/>
        <v>325</v>
      </c>
      <c r="AQ147" s="80">
        <f t="shared" si="98"/>
        <v>325</v>
      </c>
      <c r="AR147" s="80">
        <f t="shared" si="98"/>
        <v>325</v>
      </c>
      <c r="AS147" s="80">
        <f t="shared" ref="AS147:BB147" si="99">IFERROR(MIN(1,MAX(0,(EOMONTH(AS$4,0)+1-$C147)/(EDATE($C147,$E147)-$C147)))*$F147/12+IF(AS$3=1,$G147/12,0),0)</f>
        <v>325</v>
      </c>
      <c r="AT147" s="80">
        <f t="shared" si="99"/>
        <v>325</v>
      </c>
      <c r="AU147" s="80">
        <f t="shared" si="99"/>
        <v>325</v>
      </c>
      <c r="AV147" s="80">
        <f t="shared" si="99"/>
        <v>325</v>
      </c>
      <c r="AW147" s="80">
        <f t="shared" si="99"/>
        <v>325</v>
      </c>
      <c r="AX147" s="80">
        <f t="shared" si="99"/>
        <v>325</v>
      </c>
      <c r="AY147" s="80">
        <f t="shared" si="99"/>
        <v>325</v>
      </c>
      <c r="AZ147" s="80">
        <f t="shared" si="99"/>
        <v>325</v>
      </c>
      <c r="BA147" s="80">
        <f t="shared" si="99"/>
        <v>325</v>
      </c>
      <c r="BB147" s="80">
        <f t="shared" si="99"/>
        <v>325</v>
      </c>
      <c r="BC147" s="80">
        <f t="shared" si="97"/>
        <v>325</v>
      </c>
      <c r="BD147" s="61"/>
      <c r="BE147" s="80">
        <f t="shared" si="95"/>
        <v>3900</v>
      </c>
      <c r="BF147" s="80">
        <f t="shared" si="94"/>
        <v>3900</v>
      </c>
      <c r="BG147" s="80">
        <f t="shared" si="94"/>
        <v>3900</v>
      </c>
      <c r="BH147" s="80">
        <f t="shared" si="94"/>
        <v>3900</v>
      </c>
    </row>
    <row r="148" spans="2:60" ht="21" customHeight="1" x14ac:dyDescent="0.35">
      <c r="B148" s="60" t="str">
        <f>$B$18</f>
        <v>Health Care Assistants</v>
      </c>
      <c r="C148" s="48">
        <f>IF($C$18="","",$C$18)</f>
        <v>43739</v>
      </c>
      <c r="D148" s="48" t="str">
        <f t="shared" si="91"/>
        <v/>
      </c>
      <c r="E148" s="47">
        <f>IF(E$18="","",E$18)</f>
        <v>6</v>
      </c>
      <c r="F148" s="80"/>
      <c r="G148" s="76"/>
      <c r="H148" s="80">
        <f t="shared" si="98"/>
        <v>0</v>
      </c>
      <c r="I148" s="80">
        <f t="shared" si="98"/>
        <v>0</v>
      </c>
      <c r="J148" s="80">
        <f t="shared" si="98"/>
        <v>0</v>
      </c>
      <c r="K148" s="80">
        <f t="shared" si="98"/>
        <v>0</v>
      </c>
      <c r="L148" s="80">
        <f t="shared" si="98"/>
        <v>0</v>
      </c>
      <c r="M148" s="80">
        <f t="shared" si="98"/>
        <v>0</v>
      </c>
      <c r="N148" s="80">
        <f t="shared" si="98"/>
        <v>0</v>
      </c>
      <c r="O148" s="80">
        <f t="shared" si="98"/>
        <v>0</v>
      </c>
      <c r="P148" s="80">
        <f t="shared" si="98"/>
        <v>0</v>
      </c>
      <c r="Q148" s="80">
        <f t="shared" si="98"/>
        <v>0</v>
      </c>
      <c r="R148" s="80">
        <f t="shared" si="98"/>
        <v>0</v>
      </c>
      <c r="S148" s="80">
        <f t="shared" si="98"/>
        <v>0</v>
      </c>
      <c r="T148" s="80">
        <f t="shared" si="98"/>
        <v>0</v>
      </c>
      <c r="U148" s="80">
        <f t="shared" si="98"/>
        <v>0</v>
      </c>
      <c r="V148" s="80">
        <f t="shared" si="98"/>
        <v>0</v>
      </c>
      <c r="W148" s="80">
        <f t="shared" si="98"/>
        <v>0</v>
      </c>
      <c r="X148" s="80">
        <f t="shared" si="98"/>
        <v>0</v>
      </c>
      <c r="Y148" s="80">
        <f t="shared" si="98"/>
        <v>0</v>
      </c>
      <c r="Z148" s="80">
        <f t="shared" si="98"/>
        <v>0</v>
      </c>
      <c r="AA148" s="80">
        <f t="shared" si="98"/>
        <v>0</v>
      </c>
      <c r="AB148" s="80">
        <f t="shared" si="98"/>
        <v>0</v>
      </c>
      <c r="AC148" s="80">
        <f t="shared" si="98"/>
        <v>0</v>
      </c>
      <c r="AD148" s="80">
        <f t="shared" si="98"/>
        <v>0</v>
      </c>
      <c r="AE148" s="80">
        <f t="shared" si="98"/>
        <v>0</v>
      </c>
      <c r="AF148" s="80">
        <f t="shared" si="98"/>
        <v>0</v>
      </c>
      <c r="AG148" s="80">
        <f t="shared" si="98"/>
        <v>0</v>
      </c>
      <c r="AH148" s="80">
        <f t="shared" si="98"/>
        <v>0</v>
      </c>
      <c r="AI148" s="80">
        <f t="shared" si="98"/>
        <v>0</v>
      </c>
      <c r="AJ148" s="80">
        <f t="shared" si="98"/>
        <v>0</v>
      </c>
      <c r="AK148" s="80">
        <f t="shared" si="98"/>
        <v>0</v>
      </c>
      <c r="AL148" s="80">
        <f t="shared" si="98"/>
        <v>0</v>
      </c>
      <c r="AM148" s="80">
        <f t="shared" si="98"/>
        <v>0</v>
      </c>
      <c r="AN148" s="80">
        <f t="shared" si="98"/>
        <v>0</v>
      </c>
      <c r="AO148" s="80">
        <f t="shared" si="98"/>
        <v>0</v>
      </c>
      <c r="AP148" s="80">
        <f t="shared" si="98"/>
        <v>0</v>
      </c>
      <c r="AQ148" s="80">
        <f t="shared" si="98"/>
        <v>0</v>
      </c>
      <c r="AR148" s="80">
        <f t="shared" ref="AR148:BA153" si="100">IFERROR(MIN(1,MAX(0,(EOMONTH(AR$4,0)+1-$C148)/(EDATE($C148,$E148)-$C148)))*$F148/12+IF(AR$3=1,$G148/12,0),0)</f>
        <v>0</v>
      </c>
      <c r="AS148" s="80">
        <f t="shared" si="100"/>
        <v>0</v>
      </c>
      <c r="AT148" s="80">
        <f t="shared" si="100"/>
        <v>0</v>
      </c>
      <c r="AU148" s="80">
        <f t="shared" si="100"/>
        <v>0</v>
      </c>
      <c r="AV148" s="80">
        <f t="shared" si="100"/>
        <v>0</v>
      </c>
      <c r="AW148" s="80">
        <f t="shared" si="100"/>
        <v>0</v>
      </c>
      <c r="AX148" s="80">
        <f t="shared" si="100"/>
        <v>0</v>
      </c>
      <c r="AY148" s="80">
        <f t="shared" si="100"/>
        <v>0</v>
      </c>
      <c r="AZ148" s="80">
        <f t="shared" si="100"/>
        <v>0</v>
      </c>
      <c r="BA148" s="80">
        <f t="shared" si="100"/>
        <v>0</v>
      </c>
      <c r="BB148" s="80">
        <f t="shared" ref="BB148:BB153" si="101">IFERROR(MIN(1,MAX(0,(EOMONTH(BB$4,0)+1-$C148)/(EDATE($C148,$E148)-$C148)))*$F148/12+IF(BB$3=1,$G148/12,0),0)</f>
        <v>0</v>
      </c>
      <c r="BC148" s="80">
        <f t="shared" si="97"/>
        <v>0</v>
      </c>
      <c r="BD148" s="61"/>
      <c r="BE148" s="80">
        <f t="shared" si="95"/>
        <v>0</v>
      </c>
      <c r="BF148" s="80">
        <f t="shared" si="94"/>
        <v>0</v>
      </c>
      <c r="BG148" s="80">
        <f t="shared" si="94"/>
        <v>0</v>
      </c>
      <c r="BH148" s="80">
        <f t="shared" si="94"/>
        <v>0</v>
      </c>
    </row>
    <row r="149" spans="2:60" ht="21" customHeight="1" x14ac:dyDescent="0.35">
      <c r="B149" s="60" t="str">
        <f>$B$19</f>
        <v>Patient portals</v>
      </c>
      <c r="C149" s="48">
        <f>IF($C$19="","",$C$19)</f>
        <v>43678</v>
      </c>
      <c r="D149" s="48" t="str">
        <f t="shared" si="91"/>
        <v/>
      </c>
      <c r="E149" s="47">
        <f>IF(E$19="","",E$19)</f>
        <v>36</v>
      </c>
      <c r="F149" s="80">
        <f>'Patient Portal'!J20</f>
        <v>-155937.59999999998</v>
      </c>
      <c r="G149" s="76"/>
      <c r="H149" s="80">
        <f t="shared" si="98"/>
        <v>-367.55364963503644</v>
      </c>
      <c r="I149" s="80">
        <f t="shared" si="98"/>
        <v>-723.25072992700723</v>
      </c>
      <c r="J149" s="80">
        <f t="shared" si="98"/>
        <v>-1090.8043795620436</v>
      </c>
      <c r="K149" s="80">
        <f t="shared" si="98"/>
        <v>-1446.5014598540145</v>
      </c>
      <c r="L149" s="80">
        <f t="shared" si="98"/>
        <v>-1814.0551094890509</v>
      </c>
      <c r="M149" s="80">
        <f t="shared" si="98"/>
        <v>-2181.6087591240871</v>
      </c>
      <c r="N149" s="80">
        <f t="shared" si="98"/>
        <v>-2525.449270072992</v>
      </c>
      <c r="O149" s="80">
        <f t="shared" si="98"/>
        <v>-2893.0029197080289</v>
      </c>
      <c r="P149" s="80">
        <f t="shared" si="98"/>
        <v>-3248.6999999999994</v>
      </c>
      <c r="Q149" s="80">
        <f t="shared" si="98"/>
        <v>-3616.2536496350353</v>
      </c>
      <c r="R149" s="80">
        <f t="shared" si="98"/>
        <v>-3971.9507299270063</v>
      </c>
      <c r="S149" s="80">
        <f t="shared" si="98"/>
        <v>-4339.5043795620431</v>
      </c>
      <c r="T149" s="80">
        <f t="shared" si="98"/>
        <v>-4707.0580291970791</v>
      </c>
      <c r="U149" s="80">
        <f t="shared" si="98"/>
        <v>-5062.7551094890505</v>
      </c>
      <c r="V149" s="80">
        <f t="shared" si="98"/>
        <v>-5430.3087591240865</v>
      </c>
      <c r="W149" s="80">
        <f t="shared" si="98"/>
        <v>-5786.0058394160578</v>
      </c>
      <c r="X149" s="80">
        <f t="shared" si="98"/>
        <v>-6153.5594890510938</v>
      </c>
      <c r="Y149" s="80">
        <f t="shared" si="98"/>
        <v>-6521.1131386861298</v>
      </c>
      <c r="Z149" s="80">
        <f t="shared" si="98"/>
        <v>-6853.0970802919692</v>
      </c>
      <c r="AA149" s="80">
        <f t="shared" si="98"/>
        <v>-7220.6507299270061</v>
      </c>
      <c r="AB149" s="80">
        <f t="shared" si="98"/>
        <v>-7576.3478102189774</v>
      </c>
      <c r="AC149" s="80">
        <f t="shared" si="98"/>
        <v>-7943.9014598540125</v>
      </c>
      <c r="AD149" s="80">
        <f t="shared" si="98"/>
        <v>-8299.5985401459857</v>
      </c>
      <c r="AE149" s="80">
        <f t="shared" si="98"/>
        <v>-8667.1521897810198</v>
      </c>
      <c r="AF149" s="80">
        <f t="shared" si="98"/>
        <v>-9034.7058394160576</v>
      </c>
      <c r="AG149" s="80">
        <f t="shared" si="98"/>
        <v>-9390.402919708029</v>
      </c>
      <c r="AH149" s="80">
        <f t="shared" si="98"/>
        <v>-9757.956569343065</v>
      </c>
      <c r="AI149" s="80">
        <f t="shared" si="98"/>
        <v>-10113.653649635036</v>
      </c>
      <c r="AJ149" s="80">
        <f t="shared" si="98"/>
        <v>-10481.207299270071</v>
      </c>
      <c r="AK149" s="80">
        <f t="shared" si="98"/>
        <v>-10848.760948905108</v>
      </c>
      <c r="AL149" s="80">
        <f t="shared" si="98"/>
        <v>-11180.744890510949</v>
      </c>
      <c r="AM149" s="80">
        <f t="shared" si="98"/>
        <v>-11548.298540145983</v>
      </c>
      <c r="AN149" s="80">
        <f t="shared" si="98"/>
        <v>-11903.995620437956</v>
      </c>
      <c r="AO149" s="80">
        <f t="shared" si="98"/>
        <v>-12271.54927007299</v>
      </c>
      <c r="AP149" s="80">
        <f t="shared" si="98"/>
        <v>-12627.246350364961</v>
      </c>
      <c r="AQ149" s="80">
        <f t="shared" si="98"/>
        <v>-12994.799999999997</v>
      </c>
      <c r="AR149" s="80">
        <f t="shared" si="100"/>
        <v>-12994.799999999997</v>
      </c>
      <c r="AS149" s="80">
        <f t="shared" si="100"/>
        <v>-12994.799999999997</v>
      </c>
      <c r="AT149" s="80">
        <f t="shared" si="100"/>
        <v>-12994.799999999997</v>
      </c>
      <c r="AU149" s="80">
        <f t="shared" si="100"/>
        <v>-12994.799999999997</v>
      </c>
      <c r="AV149" s="80">
        <f t="shared" si="100"/>
        <v>-12994.799999999997</v>
      </c>
      <c r="AW149" s="80">
        <f t="shared" si="100"/>
        <v>-12994.799999999997</v>
      </c>
      <c r="AX149" s="80">
        <f t="shared" si="100"/>
        <v>-12994.799999999997</v>
      </c>
      <c r="AY149" s="80">
        <f t="shared" si="100"/>
        <v>-12994.799999999997</v>
      </c>
      <c r="AZ149" s="80">
        <f t="shared" si="100"/>
        <v>-12994.799999999997</v>
      </c>
      <c r="BA149" s="80">
        <f t="shared" si="100"/>
        <v>-12994.799999999997</v>
      </c>
      <c r="BB149" s="80">
        <f t="shared" si="101"/>
        <v>-12994.799999999997</v>
      </c>
      <c r="BC149" s="80">
        <f t="shared" si="97"/>
        <v>-12994.799999999997</v>
      </c>
      <c r="BD149" s="61"/>
      <c r="BE149" s="80">
        <f t="shared" si="95"/>
        <v>-28218.635036496344</v>
      </c>
      <c r="BF149" s="80">
        <f t="shared" si="94"/>
        <v>-80221.54817518247</v>
      </c>
      <c r="BG149" s="80">
        <f t="shared" si="94"/>
        <v>-132153.32189781021</v>
      </c>
      <c r="BH149" s="80">
        <f t="shared" si="94"/>
        <v>-155937.59999999998</v>
      </c>
    </row>
    <row r="150" spans="2:60" ht="21" customHeight="1" x14ac:dyDescent="0.35">
      <c r="B150" s="60" t="str">
        <f>$B$20</f>
        <v>Community Engagement</v>
      </c>
      <c r="C150" s="48" t="str">
        <f>IF($C$20="","",$C$20)</f>
        <v/>
      </c>
      <c r="D150" s="48" t="str">
        <f t="shared" si="91"/>
        <v/>
      </c>
      <c r="E150" s="47" t="str">
        <f>IF(E$20="","",E$20)</f>
        <v/>
      </c>
      <c r="F150" s="80"/>
      <c r="G150" s="76"/>
      <c r="H150" s="80">
        <f t="shared" si="98"/>
        <v>0</v>
      </c>
      <c r="I150" s="80">
        <f t="shared" si="98"/>
        <v>0</v>
      </c>
      <c r="J150" s="80">
        <f t="shared" si="98"/>
        <v>0</v>
      </c>
      <c r="K150" s="80">
        <f t="shared" si="98"/>
        <v>0</v>
      </c>
      <c r="L150" s="80">
        <f t="shared" si="98"/>
        <v>0</v>
      </c>
      <c r="M150" s="80">
        <f t="shared" si="98"/>
        <v>0</v>
      </c>
      <c r="N150" s="80">
        <f t="shared" si="98"/>
        <v>0</v>
      </c>
      <c r="O150" s="80">
        <f t="shared" si="98"/>
        <v>0</v>
      </c>
      <c r="P150" s="80">
        <f t="shared" si="98"/>
        <v>0</v>
      </c>
      <c r="Q150" s="80">
        <f t="shared" si="98"/>
        <v>0</v>
      </c>
      <c r="R150" s="80">
        <f t="shared" si="98"/>
        <v>0</v>
      </c>
      <c r="S150" s="80">
        <f t="shared" si="98"/>
        <v>0</v>
      </c>
      <c r="T150" s="80">
        <f t="shared" si="98"/>
        <v>0</v>
      </c>
      <c r="U150" s="80">
        <f t="shared" si="98"/>
        <v>0</v>
      </c>
      <c r="V150" s="80">
        <f t="shared" si="98"/>
        <v>0</v>
      </c>
      <c r="W150" s="80">
        <f t="shared" si="98"/>
        <v>0</v>
      </c>
      <c r="X150" s="80">
        <f t="shared" si="98"/>
        <v>0</v>
      </c>
      <c r="Y150" s="80">
        <f t="shared" si="98"/>
        <v>0</v>
      </c>
      <c r="Z150" s="80">
        <f t="shared" si="98"/>
        <v>0</v>
      </c>
      <c r="AA150" s="80">
        <f t="shared" si="98"/>
        <v>0</v>
      </c>
      <c r="AB150" s="80">
        <f t="shared" si="98"/>
        <v>0</v>
      </c>
      <c r="AC150" s="80">
        <f t="shared" si="98"/>
        <v>0</v>
      </c>
      <c r="AD150" s="80">
        <f t="shared" si="98"/>
        <v>0</v>
      </c>
      <c r="AE150" s="80">
        <f t="shared" si="98"/>
        <v>0</v>
      </c>
      <c r="AF150" s="80">
        <f t="shared" si="98"/>
        <v>0</v>
      </c>
      <c r="AG150" s="80">
        <f t="shared" si="98"/>
        <v>0</v>
      </c>
      <c r="AH150" s="80">
        <f t="shared" si="98"/>
        <v>0</v>
      </c>
      <c r="AI150" s="80">
        <f t="shared" si="98"/>
        <v>0</v>
      </c>
      <c r="AJ150" s="80">
        <f t="shared" si="98"/>
        <v>0</v>
      </c>
      <c r="AK150" s="80">
        <f t="shared" si="98"/>
        <v>0</v>
      </c>
      <c r="AL150" s="80">
        <f t="shared" si="98"/>
        <v>0</v>
      </c>
      <c r="AM150" s="80">
        <f t="shared" si="98"/>
        <v>0</v>
      </c>
      <c r="AN150" s="80">
        <f t="shared" si="98"/>
        <v>0</v>
      </c>
      <c r="AO150" s="80">
        <f t="shared" si="98"/>
        <v>0</v>
      </c>
      <c r="AP150" s="80">
        <f t="shared" si="98"/>
        <v>0</v>
      </c>
      <c r="AQ150" s="80">
        <f t="shared" si="98"/>
        <v>0</v>
      </c>
      <c r="AR150" s="80">
        <f t="shared" si="100"/>
        <v>0</v>
      </c>
      <c r="AS150" s="80">
        <f t="shared" si="100"/>
        <v>0</v>
      </c>
      <c r="AT150" s="80">
        <f t="shared" si="100"/>
        <v>0</v>
      </c>
      <c r="AU150" s="80">
        <f t="shared" si="100"/>
        <v>0</v>
      </c>
      <c r="AV150" s="80">
        <f t="shared" si="100"/>
        <v>0</v>
      </c>
      <c r="AW150" s="80">
        <f t="shared" si="100"/>
        <v>0</v>
      </c>
      <c r="AX150" s="80">
        <f t="shared" si="100"/>
        <v>0</v>
      </c>
      <c r="AY150" s="80">
        <f t="shared" si="100"/>
        <v>0</v>
      </c>
      <c r="AZ150" s="80">
        <f t="shared" si="100"/>
        <v>0</v>
      </c>
      <c r="BA150" s="80">
        <f t="shared" si="100"/>
        <v>0</v>
      </c>
      <c r="BB150" s="80">
        <f t="shared" si="101"/>
        <v>0</v>
      </c>
      <c r="BC150" s="80">
        <f t="shared" si="97"/>
        <v>0</v>
      </c>
      <c r="BD150" s="61"/>
      <c r="BE150" s="80">
        <f t="shared" si="95"/>
        <v>0</v>
      </c>
      <c r="BF150" s="80">
        <f t="shared" si="94"/>
        <v>0</v>
      </c>
      <c r="BG150" s="80">
        <f t="shared" si="94"/>
        <v>0</v>
      </c>
      <c r="BH150" s="80">
        <f t="shared" si="94"/>
        <v>0</v>
      </c>
    </row>
    <row r="151" spans="2:60" ht="21" customHeight="1" x14ac:dyDescent="0.35">
      <c r="B151" s="60" t="str">
        <f>$B$21</f>
        <v>Integration</v>
      </c>
      <c r="C151" s="48" t="str">
        <f>IF($C$21="","",$C$21)</f>
        <v/>
      </c>
      <c r="D151" s="48" t="str">
        <f t="shared" si="91"/>
        <v/>
      </c>
      <c r="E151" s="47" t="str">
        <f>IF(E$21="","",E$21)</f>
        <v/>
      </c>
      <c r="F151" s="80"/>
      <c r="G151" s="76"/>
      <c r="H151" s="80">
        <f t="shared" si="98"/>
        <v>0</v>
      </c>
      <c r="I151" s="80">
        <f t="shared" si="98"/>
        <v>0</v>
      </c>
      <c r="J151" s="80">
        <f t="shared" si="98"/>
        <v>0</v>
      </c>
      <c r="K151" s="80">
        <f t="shared" si="98"/>
        <v>0</v>
      </c>
      <c r="L151" s="80">
        <f t="shared" si="98"/>
        <v>0</v>
      </c>
      <c r="M151" s="80">
        <f t="shared" si="98"/>
        <v>0</v>
      </c>
      <c r="N151" s="80">
        <f t="shared" si="98"/>
        <v>0</v>
      </c>
      <c r="O151" s="80">
        <f t="shared" si="98"/>
        <v>0</v>
      </c>
      <c r="P151" s="80">
        <f t="shared" si="98"/>
        <v>0</v>
      </c>
      <c r="Q151" s="80">
        <f t="shared" si="98"/>
        <v>0</v>
      </c>
      <c r="R151" s="80">
        <f t="shared" si="98"/>
        <v>0</v>
      </c>
      <c r="S151" s="80">
        <f t="shared" si="98"/>
        <v>0</v>
      </c>
      <c r="T151" s="80">
        <f t="shared" si="98"/>
        <v>0</v>
      </c>
      <c r="U151" s="80">
        <f t="shared" si="98"/>
        <v>0</v>
      </c>
      <c r="V151" s="80">
        <f t="shared" si="98"/>
        <v>0</v>
      </c>
      <c r="W151" s="80">
        <f t="shared" si="98"/>
        <v>0</v>
      </c>
      <c r="X151" s="80">
        <f t="shared" si="98"/>
        <v>0</v>
      </c>
      <c r="Y151" s="80">
        <f t="shared" si="98"/>
        <v>0</v>
      </c>
      <c r="Z151" s="80">
        <f t="shared" si="98"/>
        <v>0</v>
      </c>
      <c r="AA151" s="80">
        <f t="shared" si="98"/>
        <v>0</v>
      </c>
      <c r="AB151" s="80">
        <f t="shared" si="98"/>
        <v>0</v>
      </c>
      <c r="AC151" s="80">
        <f t="shared" si="98"/>
        <v>0</v>
      </c>
      <c r="AD151" s="80">
        <f t="shared" si="98"/>
        <v>0</v>
      </c>
      <c r="AE151" s="80">
        <f t="shared" si="98"/>
        <v>0</v>
      </c>
      <c r="AF151" s="80">
        <f t="shared" si="98"/>
        <v>0</v>
      </c>
      <c r="AG151" s="80">
        <f t="shared" si="98"/>
        <v>0</v>
      </c>
      <c r="AH151" s="80">
        <f t="shared" si="98"/>
        <v>0</v>
      </c>
      <c r="AI151" s="80">
        <f t="shared" si="98"/>
        <v>0</v>
      </c>
      <c r="AJ151" s="80">
        <f t="shared" si="98"/>
        <v>0</v>
      </c>
      <c r="AK151" s="80">
        <f t="shared" si="98"/>
        <v>0</v>
      </c>
      <c r="AL151" s="80">
        <f t="shared" si="98"/>
        <v>0</v>
      </c>
      <c r="AM151" s="80">
        <f t="shared" si="98"/>
        <v>0</v>
      </c>
      <c r="AN151" s="80">
        <f t="shared" si="98"/>
        <v>0</v>
      </c>
      <c r="AO151" s="80">
        <f t="shared" si="98"/>
        <v>0</v>
      </c>
      <c r="AP151" s="80">
        <f t="shared" si="98"/>
        <v>0</v>
      </c>
      <c r="AQ151" s="80">
        <f t="shared" si="98"/>
        <v>0</v>
      </c>
      <c r="AR151" s="80">
        <f t="shared" si="100"/>
        <v>0</v>
      </c>
      <c r="AS151" s="80">
        <f t="shared" si="100"/>
        <v>0</v>
      </c>
      <c r="AT151" s="80">
        <f t="shared" si="100"/>
        <v>0</v>
      </c>
      <c r="AU151" s="80">
        <f t="shared" si="100"/>
        <v>0</v>
      </c>
      <c r="AV151" s="80">
        <f t="shared" si="100"/>
        <v>0</v>
      </c>
      <c r="AW151" s="80">
        <f t="shared" si="100"/>
        <v>0</v>
      </c>
      <c r="AX151" s="80">
        <f t="shared" si="100"/>
        <v>0</v>
      </c>
      <c r="AY151" s="80">
        <f t="shared" si="100"/>
        <v>0</v>
      </c>
      <c r="AZ151" s="80">
        <f t="shared" si="100"/>
        <v>0</v>
      </c>
      <c r="BA151" s="80">
        <f t="shared" si="100"/>
        <v>0</v>
      </c>
      <c r="BB151" s="80">
        <f t="shared" si="101"/>
        <v>0</v>
      </c>
      <c r="BC151" s="80">
        <f t="shared" si="97"/>
        <v>0</v>
      </c>
      <c r="BD151" s="61"/>
      <c r="BE151" s="80">
        <f t="shared" si="95"/>
        <v>0</v>
      </c>
      <c r="BF151" s="80">
        <f t="shared" si="94"/>
        <v>0</v>
      </c>
      <c r="BG151" s="80">
        <f t="shared" si="94"/>
        <v>0</v>
      </c>
      <c r="BH151" s="80">
        <f t="shared" si="94"/>
        <v>0</v>
      </c>
    </row>
    <row r="152" spans="2:60" ht="21" customHeight="1" x14ac:dyDescent="0.35">
      <c r="B152" s="60" t="str">
        <f>$B$22</f>
        <v>Quality &amp; Safety</v>
      </c>
      <c r="C152" s="48" t="str">
        <f>IF($C$22="","",$C$22)</f>
        <v/>
      </c>
      <c r="D152" s="48" t="str">
        <f t="shared" si="91"/>
        <v/>
      </c>
      <c r="E152" s="47" t="str">
        <f>IF(E$22="","",E$22)</f>
        <v/>
      </c>
      <c r="F152" s="80"/>
      <c r="G152" s="76"/>
      <c r="H152" s="80">
        <f t="shared" si="98"/>
        <v>0</v>
      </c>
      <c r="I152" s="80">
        <f t="shared" si="98"/>
        <v>0</v>
      </c>
      <c r="J152" s="80">
        <f t="shared" si="98"/>
        <v>0</v>
      </c>
      <c r="K152" s="80">
        <f t="shared" si="98"/>
        <v>0</v>
      </c>
      <c r="L152" s="80">
        <f t="shared" si="98"/>
        <v>0</v>
      </c>
      <c r="M152" s="80">
        <f t="shared" si="98"/>
        <v>0</v>
      </c>
      <c r="N152" s="80">
        <f t="shared" si="98"/>
        <v>0</v>
      </c>
      <c r="O152" s="80">
        <f t="shared" si="98"/>
        <v>0</v>
      </c>
      <c r="P152" s="80">
        <f t="shared" si="98"/>
        <v>0</v>
      </c>
      <c r="Q152" s="80">
        <f t="shared" si="98"/>
        <v>0</v>
      </c>
      <c r="R152" s="80">
        <f t="shared" si="98"/>
        <v>0</v>
      </c>
      <c r="S152" s="80">
        <f t="shared" si="98"/>
        <v>0</v>
      </c>
      <c r="T152" s="80">
        <f t="shared" si="98"/>
        <v>0</v>
      </c>
      <c r="U152" s="80">
        <f t="shared" si="98"/>
        <v>0</v>
      </c>
      <c r="V152" s="80">
        <f t="shared" si="98"/>
        <v>0</v>
      </c>
      <c r="W152" s="80">
        <f t="shared" si="98"/>
        <v>0</v>
      </c>
      <c r="X152" s="80">
        <f t="shared" si="98"/>
        <v>0</v>
      </c>
      <c r="Y152" s="80">
        <f t="shared" si="98"/>
        <v>0</v>
      </c>
      <c r="Z152" s="80">
        <f t="shared" si="98"/>
        <v>0</v>
      </c>
      <c r="AA152" s="80">
        <f t="shared" si="98"/>
        <v>0</v>
      </c>
      <c r="AB152" s="80">
        <f t="shared" si="98"/>
        <v>0</v>
      </c>
      <c r="AC152" s="80">
        <f t="shared" si="98"/>
        <v>0</v>
      </c>
      <c r="AD152" s="80">
        <f t="shared" si="98"/>
        <v>0</v>
      </c>
      <c r="AE152" s="80">
        <f t="shared" si="98"/>
        <v>0</v>
      </c>
      <c r="AF152" s="80">
        <f t="shared" si="98"/>
        <v>0</v>
      </c>
      <c r="AG152" s="80">
        <f t="shared" si="98"/>
        <v>0</v>
      </c>
      <c r="AH152" s="80">
        <f t="shared" si="98"/>
        <v>0</v>
      </c>
      <c r="AI152" s="80">
        <f t="shared" si="98"/>
        <v>0</v>
      </c>
      <c r="AJ152" s="80">
        <f t="shared" si="98"/>
        <v>0</v>
      </c>
      <c r="AK152" s="80">
        <f t="shared" si="98"/>
        <v>0</v>
      </c>
      <c r="AL152" s="80">
        <f t="shared" si="98"/>
        <v>0</v>
      </c>
      <c r="AM152" s="80">
        <f t="shared" si="98"/>
        <v>0</v>
      </c>
      <c r="AN152" s="80">
        <f t="shared" si="98"/>
        <v>0</v>
      </c>
      <c r="AO152" s="80">
        <f t="shared" si="98"/>
        <v>0</v>
      </c>
      <c r="AP152" s="80">
        <f t="shared" si="98"/>
        <v>0</v>
      </c>
      <c r="AQ152" s="80">
        <f t="shared" si="98"/>
        <v>0</v>
      </c>
      <c r="AR152" s="80">
        <f t="shared" si="100"/>
        <v>0</v>
      </c>
      <c r="AS152" s="80">
        <f t="shared" si="100"/>
        <v>0</v>
      </c>
      <c r="AT152" s="80">
        <f t="shared" si="100"/>
        <v>0</v>
      </c>
      <c r="AU152" s="80">
        <f t="shared" si="100"/>
        <v>0</v>
      </c>
      <c r="AV152" s="80">
        <f t="shared" si="100"/>
        <v>0</v>
      </c>
      <c r="AW152" s="80">
        <f t="shared" si="100"/>
        <v>0</v>
      </c>
      <c r="AX152" s="80">
        <f t="shared" si="100"/>
        <v>0</v>
      </c>
      <c r="AY152" s="80">
        <f t="shared" si="100"/>
        <v>0</v>
      </c>
      <c r="AZ152" s="80">
        <f t="shared" si="100"/>
        <v>0</v>
      </c>
      <c r="BA152" s="80">
        <f t="shared" si="100"/>
        <v>0</v>
      </c>
      <c r="BB152" s="80">
        <f t="shared" si="101"/>
        <v>0</v>
      </c>
      <c r="BC152" s="80">
        <f t="shared" si="97"/>
        <v>0</v>
      </c>
      <c r="BD152" s="61"/>
      <c r="BE152" s="80">
        <f t="shared" si="95"/>
        <v>0</v>
      </c>
      <c r="BF152" s="80">
        <f t="shared" si="94"/>
        <v>0</v>
      </c>
      <c r="BG152" s="80">
        <f t="shared" si="94"/>
        <v>0</v>
      </c>
      <c r="BH152" s="80">
        <f t="shared" si="94"/>
        <v>0</v>
      </c>
    </row>
    <row r="153" spans="2:60" ht="21" customHeight="1" x14ac:dyDescent="0.35">
      <c r="B153" s="60" t="str">
        <f>$B$23</f>
        <v>Other (staff release for training and implementation activity)</v>
      </c>
      <c r="C153" s="48">
        <f>IF($C$23="","",$C$23)</f>
        <v>43678</v>
      </c>
      <c r="D153" s="48">
        <f t="shared" si="91"/>
        <v>44773</v>
      </c>
      <c r="E153" s="47">
        <f>IF(E$23="","",E$23)</f>
        <v>1</v>
      </c>
      <c r="F153" s="80"/>
      <c r="G153" s="76">
        <f>Other!C95*60</f>
        <v>0</v>
      </c>
      <c r="H153" s="80">
        <f t="shared" si="98"/>
        <v>0</v>
      </c>
      <c r="I153" s="80">
        <f t="shared" si="98"/>
        <v>0</v>
      </c>
      <c r="J153" s="80">
        <f t="shared" si="98"/>
        <v>0</v>
      </c>
      <c r="K153" s="80">
        <f t="shared" si="98"/>
        <v>0</v>
      </c>
      <c r="L153" s="80">
        <f t="shared" si="98"/>
        <v>0</v>
      </c>
      <c r="M153" s="80">
        <f t="shared" si="98"/>
        <v>0</v>
      </c>
      <c r="N153" s="80">
        <f t="shared" si="98"/>
        <v>0</v>
      </c>
      <c r="O153" s="80">
        <f t="shared" si="98"/>
        <v>0</v>
      </c>
      <c r="P153" s="80">
        <f t="shared" si="98"/>
        <v>0</v>
      </c>
      <c r="Q153" s="80">
        <f t="shared" si="98"/>
        <v>0</v>
      </c>
      <c r="R153" s="80">
        <f t="shared" si="98"/>
        <v>0</v>
      </c>
      <c r="S153" s="80">
        <f t="shared" si="98"/>
        <v>0</v>
      </c>
      <c r="T153" s="80">
        <f t="shared" si="98"/>
        <v>0</v>
      </c>
      <c r="U153" s="80">
        <f t="shared" si="98"/>
        <v>0</v>
      </c>
      <c r="V153" s="80">
        <f t="shared" si="98"/>
        <v>0</v>
      </c>
      <c r="W153" s="80">
        <f t="shared" si="98"/>
        <v>0</v>
      </c>
      <c r="X153" s="80">
        <f t="shared" si="98"/>
        <v>0</v>
      </c>
      <c r="Y153" s="80">
        <f t="shared" si="98"/>
        <v>0</v>
      </c>
      <c r="Z153" s="80">
        <f t="shared" si="98"/>
        <v>0</v>
      </c>
      <c r="AA153" s="80">
        <f t="shared" si="98"/>
        <v>0</v>
      </c>
      <c r="AB153" s="80">
        <f t="shared" si="98"/>
        <v>0</v>
      </c>
      <c r="AC153" s="80">
        <f t="shared" si="98"/>
        <v>0</v>
      </c>
      <c r="AD153" s="80">
        <f t="shared" si="98"/>
        <v>0</v>
      </c>
      <c r="AE153" s="80">
        <f t="shared" si="98"/>
        <v>0</v>
      </c>
      <c r="AF153" s="80">
        <f t="shared" si="98"/>
        <v>0</v>
      </c>
      <c r="AG153" s="80">
        <f t="shared" si="98"/>
        <v>0</v>
      </c>
      <c r="AH153" s="80">
        <f t="shared" si="98"/>
        <v>0</v>
      </c>
      <c r="AI153" s="80">
        <f t="shared" si="98"/>
        <v>0</v>
      </c>
      <c r="AJ153" s="80">
        <f t="shared" si="98"/>
        <v>0</v>
      </c>
      <c r="AK153" s="80">
        <f t="shared" si="98"/>
        <v>0</v>
      </c>
      <c r="AL153" s="80">
        <f t="shared" si="98"/>
        <v>0</v>
      </c>
      <c r="AM153" s="80">
        <f t="shared" si="98"/>
        <v>0</v>
      </c>
      <c r="AN153" s="80">
        <f t="shared" si="98"/>
        <v>0</v>
      </c>
      <c r="AO153" s="80">
        <f t="shared" si="98"/>
        <v>0</v>
      </c>
      <c r="AP153" s="80">
        <f t="shared" si="98"/>
        <v>0</v>
      </c>
      <c r="AQ153" s="80">
        <f t="shared" si="98"/>
        <v>0</v>
      </c>
      <c r="AR153" s="80">
        <f t="shared" si="100"/>
        <v>0</v>
      </c>
      <c r="AS153" s="80">
        <f t="shared" si="100"/>
        <v>0</v>
      </c>
      <c r="AT153" s="80">
        <f t="shared" si="100"/>
        <v>0</v>
      </c>
      <c r="AU153" s="80">
        <f t="shared" si="100"/>
        <v>0</v>
      </c>
      <c r="AV153" s="80">
        <f t="shared" si="100"/>
        <v>0</v>
      </c>
      <c r="AW153" s="80">
        <f t="shared" si="100"/>
        <v>0</v>
      </c>
      <c r="AX153" s="80">
        <f t="shared" si="100"/>
        <v>0</v>
      </c>
      <c r="AY153" s="80">
        <f t="shared" si="100"/>
        <v>0</v>
      </c>
      <c r="AZ153" s="80">
        <f t="shared" si="100"/>
        <v>0</v>
      </c>
      <c r="BA153" s="80">
        <f t="shared" si="100"/>
        <v>0</v>
      </c>
      <c r="BB153" s="80">
        <f t="shared" si="101"/>
        <v>0</v>
      </c>
      <c r="BC153" s="80">
        <f t="shared" si="97"/>
        <v>0</v>
      </c>
      <c r="BD153" s="61"/>
      <c r="BE153" s="80">
        <f t="shared" si="95"/>
        <v>0</v>
      </c>
      <c r="BF153" s="80">
        <f t="shared" si="94"/>
        <v>0</v>
      </c>
      <c r="BG153" s="80">
        <f t="shared" si="94"/>
        <v>0</v>
      </c>
      <c r="BH153" s="80">
        <f t="shared" si="94"/>
        <v>0</v>
      </c>
    </row>
    <row r="154" spans="2:60" ht="21" customHeight="1" x14ac:dyDescent="0.35">
      <c r="B154" s="49"/>
      <c r="C154" s="49"/>
      <c r="D154" s="49"/>
      <c r="E154" s="49"/>
    </row>
    <row r="155" spans="2:60" ht="21" customHeight="1" x14ac:dyDescent="0.35">
      <c r="B155" s="60" t="s">
        <v>210</v>
      </c>
      <c r="C155" s="48"/>
      <c r="D155" s="48"/>
      <c r="E155" s="47">
        <f>IF(E132="","",E132)</f>
        <v>1</v>
      </c>
      <c r="F155" s="19">
        <f>SUM(F137:F153)</f>
        <v>-36837.599999999977</v>
      </c>
      <c r="H155" s="80">
        <f t="shared" ref="H155:AP155" si="102">SUM(H137:H153)</f>
        <v>9557.446350364964</v>
      </c>
      <c r="I155" s="80">
        <f t="shared" si="102"/>
        <v>9201.7492700729927</v>
      </c>
      <c r="J155" s="80">
        <f t="shared" si="102"/>
        <v>8834.1956204379567</v>
      </c>
      <c r="K155" s="80">
        <f t="shared" si="102"/>
        <v>8478.4985401459853</v>
      </c>
      <c r="L155" s="80">
        <f t="shared" si="102"/>
        <v>8110.9448905109493</v>
      </c>
      <c r="M155" s="80">
        <f t="shared" si="102"/>
        <v>7743.3912408759134</v>
      </c>
      <c r="N155" s="80">
        <f t="shared" si="102"/>
        <v>7399.5507299270084</v>
      </c>
      <c r="O155" s="80">
        <f t="shared" si="102"/>
        <v>7031.9970802919706</v>
      </c>
      <c r="P155" s="80">
        <f t="shared" si="102"/>
        <v>6676.3000000000011</v>
      </c>
      <c r="Q155" s="80">
        <f t="shared" si="102"/>
        <v>6308.7463503649651</v>
      </c>
      <c r="R155" s="80">
        <f t="shared" si="102"/>
        <v>5953.0492700729937</v>
      </c>
      <c r="S155" s="80">
        <f t="shared" si="102"/>
        <v>5585.4956204379569</v>
      </c>
      <c r="T155" s="80">
        <f t="shared" si="102"/>
        <v>5217.9419708029209</v>
      </c>
      <c r="U155" s="80">
        <f t="shared" si="102"/>
        <v>4862.2448905109495</v>
      </c>
      <c r="V155" s="80">
        <f t="shared" si="102"/>
        <v>4494.6912408759135</v>
      </c>
      <c r="W155" s="80">
        <f t="shared" si="102"/>
        <v>4138.9941605839422</v>
      </c>
      <c r="X155" s="80">
        <f t="shared" si="102"/>
        <v>3771.4405109489062</v>
      </c>
      <c r="Y155" s="80">
        <f t="shared" si="102"/>
        <v>3403.8868613138702</v>
      </c>
      <c r="Z155" s="80">
        <f t="shared" si="102"/>
        <v>3071.9029197080308</v>
      </c>
      <c r="AA155" s="80">
        <f t="shared" si="102"/>
        <v>2704.3492700729939</v>
      </c>
      <c r="AB155" s="80">
        <f t="shared" si="102"/>
        <v>2348.6521897810226</v>
      </c>
      <c r="AC155" s="80">
        <f t="shared" si="102"/>
        <v>1981.0985401459875</v>
      </c>
      <c r="AD155" s="80">
        <f t="shared" si="102"/>
        <v>1625.4014598540143</v>
      </c>
      <c r="AE155" s="80">
        <f t="shared" si="102"/>
        <v>1257.8478102189802</v>
      </c>
      <c r="AF155" s="80">
        <f t="shared" si="102"/>
        <v>890.29416058394236</v>
      </c>
      <c r="AG155" s="80">
        <f t="shared" si="102"/>
        <v>534.597080291971</v>
      </c>
      <c r="AH155" s="80">
        <f t="shared" si="102"/>
        <v>167.04343065693502</v>
      </c>
      <c r="AI155" s="80">
        <f t="shared" si="102"/>
        <v>-188.65364963503634</v>
      </c>
      <c r="AJ155" s="80">
        <f t="shared" si="102"/>
        <v>-556.20729927007051</v>
      </c>
      <c r="AK155" s="80">
        <f t="shared" si="102"/>
        <v>-923.76094890510831</v>
      </c>
      <c r="AL155" s="80">
        <f t="shared" si="102"/>
        <v>-1255.7448905109486</v>
      </c>
      <c r="AM155" s="80">
        <f t="shared" si="102"/>
        <v>-1623.2985401459828</v>
      </c>
      <c r="AN155" s="80">
        <f t="shared" si="102"/>
        <v>-1978.9956204379559</v>
      </c>
      <c r="AO155" s="80">
        <f t="shared" si="102"/>
        <v>-2346.5492700729901</v>
      </c>
      <c r="AP155" s="80">
        <f t="shared" si="102"/>
        <v>-2702.2463503649615</v>
      </c>
      <c r="AQ155" s="80">
        <f>SUM(AQ137:AQ153)</f>
        <v>-3069.7999999999975</v>
      </c>
      <c r="AR155" s="80">
        <f t="shared" ref="AR155:BA155" si="103">SUM(AR137:AR153)</f>
        <v>-3069.7999999999975</v>
      </c>
      <c r="AS155" s="80">
        <f t="shared" si="103"/>
        <v>-3069.7999999999975</v>
      </c>
      <c r="AT155" s="80">
        <f t="shared" si="103"/>
        <v>-3069.7999999999975</v>
      </c>
      <c r="AU155" s="80">
        <f t="shared" si="103"/>
        <v>-3069.7999999999975</v>
      </c>
      <c r="AV155" s="80">
        <f t="shared" si="103"/>
        <v>-3069.7999999999975</v>
      </c>
      <c r="AW155" s="80">
        <f t="shared" si="103"/>
        <v>-3069.7999999999975</v>
      </c>
      <c r="AX155" s="80">
        <f t="shared" si="103"/>
        <v>-3069.7999999999975</v>
      </c>
      <c r="AY155" s="80">
        <f t="shared" si="103"/>
        <v>-3069.7999999999975</v>
      </c>
      <c r="AZ155" s="80">
        <f t="shared" si="103"/>
        <v>-3069.7999999999975</v>
      </c>
      <c r="BA155" s="80">
        <f t="shared" si="103"/>
        <v>-3069.7999999999975</v>
      </c>
      <c r="BB155" s="80">
        <f>SUM(BB137:BB153)</f>
        <v>-3069.7999999999975</v>
      </c>
      <c r="BC155" s="80">
        <f>SUM(BC137:BC153)</f>
        <v>-3069.7999999999975</v>
      </c>
      <c r="BD155" s="61"/>
      <c r="BE155" s="80">
        <f>SUMIF($H$3:$BD$3,BE$3,$H155:$BD155)</f>
        <v>90881.364963503671</v>
      </c>
      <c r="BF155" s="80">
        <f t="shared" ref="BF155:BH155" si="104">SUMIF($H$3:$BD$3,BF$3,$H155:$BD155)</f>
        <v>38878.45182481753</v>
      </c>
      <c r="BG155" s="80">
        <f t="shared" si="104"/>
        <v>-13053.321897810203</v>
      </c>
      <c r="BH155" s="80">
        <f t="shared" si="104"/>
        <v>-36837.599999999962</v>
      </c>
    </row>
  </sheetData>
  <sheetProtection selectLockedCells="1" selectUnlockedCells="1"/>
  <mergeCells count="1">
    <mergeCell ref="BE2:BH2"/>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Q158"/>
  <sheetViews>
    <sheetView topLeftCell="A3" zoomScale="102" zoomScaleNormal="102" workbookViewId="0">
      <selection activeCell="A2" sqref="A2"/>
    </sheetView>
  </sheetViews>
  <sheetFormatPr defaultColWidth="9.08984375" defaultRowHeight="23.25" customHeight="1" x14ac:dyDescent="0.35"/>
  <cols>
    <col min="1" max="1" width="9.08984375" style="3"/>
    <col min="2" max="2" width="41.36328125" style="4" bestFit="1" customWidth="1"/>
    <col min="3" max="3" width="14.453125" style="5" customWidth="1"/>
    <col min="4" max="4" width="2.6328125" style="3" customWidth="1"/>
    <col min="5" max="5" width="45.453125" style="3" customWidth="1"/>
    <col min="6" max="6" width="16.6328125" style="5" customWidth="1"/>
    <col min="7" max="7" width="3" style="3" customWidth="1"/>
    <col min="8" max="8" width="60.453125" style="3" customWidth="1"/>
    <col min="9" max="9" width="15.36328125" style="3" customWidth="1"/>
    <col min="10" max="10" width="21.453125" style="95" customWidth="1"/>
    <col min="11" max="11" width="11.54296875" style="95" customWidth="1"/>
    <col min="12" max="12" width="18.453125" style="3" hidden="1" customWidth="1"/>
    <col min="13" max="13" width="9.54296875" style="3" customWidth="1"/>
    <col min="14" max="14" width="34.08984375" style="3" customWidth="1"/>
    <col min="15" max="15" width="18.36328125" style="3" customWidth="1"/>
    <col min="16" max="16" width="63.36328125" style="3" bestFit="1" customWidth="1"/>
    <col min="17" max="17" width="9.08984375" style="3"/>
    <col min="18" max="18" width="2.6328125" style="3" customWidth="1"/>
    <col min="19" max="19" width="42.6328125" style="3" bestFit="1" customWidth="1"/>
    <col min="20" max="20" width="9.08984375" style="3"/>
    <col min="21" max="21" width="3.08984375" style="3" customWidth="1"/>
    <col min="22" max="22" width="33.90625" style="3" customWidth="1"/>
    <col min="23" max="16384" width="9.08984375" style="3"/>
  </cols>
  <sheetData>
    <row r="1" spans="1:16" ht="23.25" customHeight="1" thickBot="1" x14ac:dyDescent="0.4">
      <c r="A1" s="33"/>
      <c r="J1" s="3"/>
      <c r="K1" s="3"/>
    </row>
    <row r="2" spans="1:16" ht="23.25" customHeight="1" thickBot="1" x14ac:dyDescent="0.4">
      <c r="B2" s="211" t="s">
        <v>248</v>
      </c>
      <c r="C2" s="212"/>
      <c r="E2" s="198" t="s">
        <v>246</v>
      </c>
      <c r="F2" s="198"/>
      <c r="H2" s="206" t="s">
        <v>226</v>
      </c>
      <c r="I2" s="207"/>
      <c r="J2" s="207"/>
      <c r="K2" s="208"/>
      <c r="N2" s="28" t="s">
        <v>40</v>
      </c>
      <c r="O2" s="69" t="s">
        <v>159</v>
      </c>
    </row>
    <row r="3" spans="1:16" ht="23.25" customHeight="1" x14ac:dyDescent="0.35">
      <c r="E3" s="18" t="s">
        <v>76</v>
      </c>
      <c r="F3" s="170">
        <v>360000</v>
      </c>
      <c r="H3" s="203" t="s">
        <v>219</v>
      </c>
      <c r="I3" s="204"/>
      <c r="J3" s="204"/>
      <c r="K3" s="205"/>
      <c r="N3" s="84" t="s">
        <v>30</v>
      </c>
      <c r="O3" s="29">
        <f>SUMIFS($I:$I,$J:$J,$L$4,$K:$K,$L21)</f>
        <v>380000</v>
      </c>
    </row>
    <row r="4" spans="1:16" ht="23.25" customHeight="1" x14ac:dyDescent="0.35">
      <c r="B4" s="18" t="s">
        <v>62</v>
      </c>
      <c r="C4" s="46">
        <v>43678</v>
      </c>
      <c r="E4" s="18" t="s">
        <v>247</v>
      </c>
      <c r="F4" s="170">
        <v>30000</v>
      </c>
      <c r="L4" s="3" t="s">
        <v>170</v>
      </c>
      <c r="N4" s="84" t="s">
        <v>140</v>
      </c>
      <c r="O4" s="29">
        <f>SUMIFS($I:$I,$J:$J,$L$4,$K:$K,$L22)</f>
        <v>2000000</v>
      </c>
    </row>
    <row r="5" spans="1:16" ht="23.25" customHeight="1" x14ac:dyDescent="0.35">
      <c r="B5" s="18" t="s">
        <v>154</v>
      </c>
      <c r="C5" s="90">
        <f>EOMONTH(C4,35)</f>
        <v>44773</v>
      </c>
      <c r="E5" s="18" t="s">
        <v>77</v>
      </c>
      <c r="F5" s="178">
        <f>IFERROR(F3/F4,0)</f>
        <v>12</v>
      </c>
      <c r="H5" s="18" t="s">
        <v>171</v>
      </c>
      <c r="I5" s="94" t="s">
        <v>39</v>
      </c>
      <c r="J5" s="70" t="s">
        <v>164</v>
      </c>
      <c r="K5" s="70" t="s">
        <v>167</v>
      </c>
      <c r="L5" s="3" t="s">
        <v>33</v>
      </c>
      <c r="N5" s="29" t="s">
        <v>141</v>
      </c>
      <c r="O5" s="29">
        <f>SUM(O3:O4)</f>
        <v>2380000</v>
      </c>
    </row>
    <row r="6" spans="1:16" ht="23.25" customHeight="1" x14ac:dyDescent="0.35">
      <c r="F6" s="3"/>
      <c r="H6" s="120" t="s">
        <v>311</v>
      </c>
      <c r="I6" s="119">
        <v>380000</v>
      </c>
      <c r="J6" s="117" t="s">
        <v>170</v>
      </c>
      <c r="K6" s="117" t="s">
        <v>165</v>
      </c>
      <c r="L6" s="3" t="s">
        <v>168</v>
      </c>
      <c r="N6" s="1"/>
      <c r="O6" s="1"/>
    </row>
    <row r="7" spans="1:16" ht="23.25" customHeight="1" x14ac:dyDescent="0.35">
      <c r="B7" s="209" t="s">
        <v>201</v>
      </c>
      <c r="C7" s="210"/>
      <c r="E7" s="209" t="s">
        <v>249</v>
      </c>
      <c r="F7" s="210"/>
      <c r="H7" s="116" t="s">
        <v>320</v>
      </c>
      <c r="I7" s="119">
        <v>2000000</v>
      </c>
      <c r="J7" s="117" t="s">
        <v>170</v>
      </c>
      <c r="K7" s="117" t="s">
        <v>166</v>
      </c>
      <c r="L7" s="3" t="s">
        <v>172</v>
      </c>
      <c r="N7" s="29" t="s">
        <v>32</v>
      </c>
      <c r="O7" s="1"/>
    </row>
    <row r="8" spans="1:16" ht="23.25" customHeight="1" x14ac:dyDescent="0.35">
      <c r="B8" s="18" t="s">
        <v>244</v>
      </c>
      <c r="C8" s="23">
        <v>15</v>
      </c>
      <c r="E8" s="18" t="s">
        <v>78</v>
      </c>
      <c r="F8" s="170">
        <v>20000</v>
      </c>
      <c r="H8" s="116"/>
      <c r="I8" s="119"/>
      <c r="J8" s="117"/>
      <c r="K8" s="117"/>
      <c r="L8" s="3" t="s">
        <v>173</v>
      </c>
      <c r="N8" s="84" t="s">
        <v>145</v>
      </c>
      <c r="O8" s="29">
        <f>SUMIF($J:$J,$L$6,$I:$I)</f>
        <v>100000</v>
      </c>
    </row>
    <row r="9" spans="1:16" ht="23.25" customHeight="1" x14ac:dyDescent="0.35">
      <c r="B9" s="18" t="s">
        <v>245</v>
      </c>
      <c r="C9" s="23">
        <v>15</v>
      </c>
      <c r="E9" s="18" t="s">
        <v>79</v>
      </c>
      <c r="F9" s="170">
        <v>20000</v>
      </c>
      <c r="H9" s="116" t="s">
        <v>312</v>
      </c>
      <c r="I9" s="119">
        <v>1278000</v>
      </c>
      <c r="J9" s="117" t="s">
        <v>172</v>
      </c>
      <c r="K9" s="117" t="s">
        <v>165</v>
      </c>
      <c r="L9" s="3" t="s">
        <v>174</v>
      </c>
      <c r="N9" s="96" t="s">
        <v>142</v>
      </c>
      <c r="O9" s="1"/>
    </row>
    <row r="10" spans="1:16" ht="23.25" customHeight="1" x14ac:dyDescent="0.35">
      <c r="B10" s="18" t="s">
        <v>202</v>
      </c>
      <c r="C10" s="103">
        <f>IF(C20&gt;0,C20,C19/10*9)</f>
        <v>7.1</v>
      </c>
      <c r="E10" s="18" t="s">
        <v>80</v>
      </c>
      <c r="F10" s="179">
        <f>F8/F9</f>
        <v>1</v>
      </c>
      <c r="H10" s="116" t="s">
        <v>321</v>
      </c>
      <c r="I10" s="119">
        <v>45000</v>
      </c>
      <c r="J10" s="117" t="s">
        <v>174</v>
      </c>
      <c r="K10" s="117" t="s">
        <v>165</v>
      </c>
      <c r="L10" s="3" t="s">
        <v>175</v>
      </c>
      <c r="N10" s="86" t="s">
        <v>75</v>
      </c>
      <c r="O10" s="29">
        <f>SUMIF($J:$J,$L$7,$I:$I)</f>
        <v>1278000</v>
      </c>
      <c r="P10" s="13"/>
    </row>
    <row r="11" spans="1:16" ht="23.25" customHeight="1" x14ac:dyDescent="0.35">
      <c r="B11" s="18" t="s">
        <v>10</v>
      </c>
      <c r="C11" s="23">
        <v>6.2</v>
      </c>
      <c r="H11" s="116" t="s">
        <v>322</v>
      </c>
      <c r="I11" s="119">
        <v>372000</v>
      </c>
      <c r="J11" s="117" t="s">
        <v>173</v>
      </c>
      <c r="K11" s="117" t="s">
        <v>165</v>
      </c>
      <c r="L11" s="3" t="s">
        <v>169</v>
      </c>
      <c r="N11" s="86" t="s">
        <v>143</v>
      </c>
      <c r="O11" s="29">
        <f>SUMIF($J:$J,$L$8,$I:$I)</f>
        <v>372000</v>
      </c>
    </row>
    <row r="12" spans="1:16" ht="23.25" customHeight="1" x14ac:dyDescent="0.35">
      <c r="B12" s="18" t="s">
        <v>20</v>
      </c>
      <c r="C12" s="23">
        <v>5.2</v>
      </c>
      <c r="F12" s="197" t="s">
        <v>285</v>
      </c>
      <c r="H12" s="116" t="s">
        <v>323</v>
      </c>
      <c r="I12" s="119">
        <v>234000</v>
      </c>
      <c r="J12" s="117" t="s">
        <v>175</v>
      </c>
      <c r="K12" s="117" t="s">
        <v>165</v>
      </c>
      <c r="L12" s="3" t="s">
        <v>151</v>
      </c>
      <c r="N12" s="85" t="s">
        <v>144</v>
      </c>
      <c r="O12" s="29">
        <f>SUM(O9:O11)</f>
        <v>1650000</v>
      </c>
    </row>
    <row r="13" spans="1:16" ht="23.25" customHeight="1" x14ac:dyDescent="0.35">
      <c r="B13" s="18" t="s">
        <v>11</v>
      </c>
      <c r="C13" s="104">
        <f>(52-C14)*40</f>
        <v>1920</v>
      </c>
      <c r="E13" s="175" t="s">
        <v>71</v>
      </c>
      <c r="F13" s="169">
        <v>1</v>
      </c>
      <c r="H13" s="116" t="s">
        <v>313</v>
      </c>
      <c r="I13" s="119">
        <v>100000</v>
      </c>
      <c r="J13" s="117" t="s">
        <v>168</v>
      </c>
      <c r="K13" s="117" t="s">
        <v>165</v>
      </c>
      <c r="N13" s="1"/>
      <c r="O13" s="1"/>
    </row>
    <row r="14" spans="1:16" ht="23.25" customHeight="1" x14ac:dyDescent="0.35">
      <c r="B14" s="18" t="s">
        <v>206</v>
      </c>
      <c r="C14" s="117">
        <v>4</v>
      </c>
      <c r="E14" s="18" t="s">
        <v>273</v>
      </c>
      <c r="F14" s="23">
        <v>6</v>
      </c>
      <c r="H14" s="116" t="s">
        <v>324</v>
      </c>
      <c r="I14" s="119">
        <v>71000</v>
      </c>
      <c r="J14" s="117" t="s">
        <v>169</v>
      </c>
      <c r="K14" s="117" t="s">
        <v>165</v>
      </c>
      <c r="N14" s="29" t="s">
        <v>146</v>
      </c>
      <c r="O14" s="29">
        <f>O8+O12</f>
        <v>1750000</v>
      </c>
    </row>
    <row r="15" spans="1:16" ht="23.25" customHeight="1" x14ac:dyDescent="0.35">
      <c r="E15" s="18" t="s">
        <v>327</v>
      </c>
      <c r="F15" s="23">
        <v>0</v>
      </c>
      <c r="H15" s="116" t="s">
        <v>314</v>
      </c>
      <c r="I15" s="119">
        <v>200000</v>
      </c>
      <c r="J15" s="117" t="s">
        <v>169</v>
      </c>
      <c r="K15" s="117" t="s">
        <v>166</v>
      </c>
      <c r="N15" s="1"/>
      <c r="O15" s="1"/>
    </row>
    <row r="16" spans="1:16" ht="23.25" customHeight="1" x14ac:dyDescent="0.35">
      <c r="B16" s="18" t="s">
        <v>15</v>
      </c>
      <c r="C16" s="170">
        <v>10000</v>
      </c>
      <c r="E16" s="18" t="s">
        <v>242</v>
      </c>
      <c r="F16" s="104">
        <f>Enrolled_patients*F14</f>
        <v>60000</v>
      </c>
      <c r="H16" s="118"/>
      <c r="I16" s="119"/>
      <c r="J16" s="117"/>
      <c r="K16" s="117"/>
      <c r="N16" s="29" t="s">
        <v>147</v>
      </c>
      <c r="O16" s="29">
        <f>O5-O14</f>
        <v>630000</v>
      </c>
    </row>
    <row r="17" spans="2:15" ht="23.25" customHeight="1" x14ac:dyDescent="0.35">
      <c r="B17" s="3"/>
      <c r="C17" s="3"/>
      <c r="E17" s="18" t="s">
        <v>328</v>
      </c>
      <c r="F17" s="104">
        <f>$C$16*F15</f>
        <v>0</v>
      </c>
      <c r="H17" s="116"/>
      <c r="I17" s="119"/>
      <c r="J17" s="117"/>
      <c r="K17" s="117"/>
      <c r="N17" s="1"/>
      <c r="O17" s="1"/>
    </row>
    <row r="18" spans="2:15" ht="23.25" customHeight="1" x14ac:dyDescent="0.35">
      <c r="B18" s="114" t="s">
        <v>205</v>
      </c>
      <c r="H18" s="116"/>
      <c r="I18" s="119"/>
      <c r="J18" s="117"/>
      <c r="K18" s="117"/>
      <c r="N18" s="29" t="s">
        <v>31</v>
      </c>
      <c r="O18" s="1"/>
    </row>
    <row r="19" spans="2:15" ht="23.25" customHeight="1" x14ac:dyDescent="0.35">
      <c r="B19" s="18" t="s">
        <v>203</v>
      </c>
      <c r="C19" s="23"/>
      <c r="H19" s="116"/>
      <c r="I19" s="119"/>
      <c r="J19" s="117"/>
      <c r="K19" s="117"/>
      <c r="N19" s="84" t="s">
        <v>162</v>
      </c>
      <c r="O19" s="1"/>
    </row>
    <row r="20" spans="2:15" ht="23.25" customHeight="1" x14ac:dyDescent="0.35">
      <c r="B20" s="18" t="s">
        <v>204</v>
      </c>
      <c r="C20" s="23">
        <v>7.1</v>
      </c>
      <c r="H20" s="116"/>
      <c r="I20" s="119"/>
      <c r="J20" s="117"/>
      <c r="K20" s="117"/>
      <c r="N20" s="85" t="s">
        <v>89</v>
      </c>
      <c r="O20" s="29">
        <f>SUMIF($J:$J,$L$9,$I:$I)</f>
        <v>45000</v>
      </c>
    </row>
    <row r="21" spans="2:15" ht="23.25" customHeight="1" x14ac:dyDescent="0.35">
      <c r="H21" s="116"/>
      <c r="I21" s="119"/>
      <c r="J21" s="117"/>
      <c r="K21" s="117"/>
      <c r="L21" s="3" t="s">
        <v>165</v>
      </c>
      <c r="N21" s="85" t="s">
        <v>148</v>
      </c>
      <c r="O21" s="29">
        <f>SUMIF($J:$J,$L$10,$I:$I)</f>
        <v>234000</v>
      </c>
    </row>
    <row r="22" spans="2:15" ht="23.25" customHeight="1" x14ac:dyDescent="0.35">
      <c r="H22" s="116"/>
      <c r="I22" s="119"/>
      <c r="J22" s="117"/>
      <c r="K22" s="117"/>
      <c r="L22" s="3" t="s">
        <v>166</v>
      </c>
      <c r="N22" s="85" t="s">
        <v>161</v>
      </c>
      <c r="O22" s="29">
        <f>SUMIFS($I:$I,$J:$J,$L$11,$K:$K,$L$21)</f>
        <v>71000</v>
      </c>
    </row>
    <row r="23" spans="2:15" ht="23.25" customHeight="1" x14ac:dyDescent="0.35">
      <c r="H23" s="116"/>
      <c r="I23" s="119"/>
      <c r="J23" s="117"/>
      <c r="K23" s="117"/>
      <c r="N23" s="84" t="s">
        <v>176</v>
      </c>
      <c r="O23" s="29">
        <f>SUM(O20:O22)</f>
        <v>350000</v>
      </c>
    </row>
    <row r="24" spans="2:15" ht="23.25" customHeight="1" x14ac:dyDescent="0.35">
      <c r="H24" s="116"/>
      <c r="I24" s="119"/>
      <c r="J24" s="117"/>
      <c r="K24" s="117"/>
      <c r="N24" s="84" t="s">
        <v>163</v>
      </c>
      <c r="O24" s="29">
        <f>SUMIFS($I:$I,$J:$J,$L$11,$K:$K,$L$22)</f>
        <v>200000</v>
      </c>
    </row>
    <row r="25" spans="2:15" ht="23.25" customHeight="1" x14ac:dyDescent="0.35">
      <c r="H25" s="116"/>
      <c r="I25" s="119"/>
      <c r="J25" s="117"/>
      <c r="K25" s="117"/>
      <c r="N25" s="88" t="s">
        <v>149</v>
      </c>
      <c r="O25" s="29">
        <f>SUM(O23:O24)</f>
        <v>550000</v>
      </c>
    </row>
    <row r="26" spans="2:15" ht="23.25" customHeight="1" x14ac:dyDescent="0.35">
      <c r="H26" s="116"/>
      <c r="I26" s="119"/>
      <c r="J26" s="117"/>
      <c r="K26" s="117"/>
      <c r="N26" s="45"/>
      <c r="O26" s="1"/>
    </row>
    <row r="27" spans="2:15" ht="23.25" customHeight="1" x14ac:dyDescent="0.35">
      <c r="H27" s="116"/>
      <c r="I27" s="119"/>
      <c r="J27" s="117"/>
      <c r="K27" s="117"/>
      <c r="N27" s="88" t="s">
        <v>150</v>
      </c>
      <c r="O27" s="29">
        <f>O16-O25</f>
        <v>80000</v>
      </c>
    </row>
    <row r="28" spans="2:15" ht="23.25" customHeight="1" x14ac:dyDescent="0.35">
      <c r="H28" s="116"/>
      <c r="I28" s="119"/>
      <c r="J28" s="117"/>
      <c r="K28" s="117"/>
      <c r="N28" s="89"/>
      <c r="O28" s="1"/>
    </row>
    <row r="29" spans="2:15" ht="23.25" customHeight="1" x14ac:dyDescent="0.35">
      <c r="H29" s="116"/>
      <c r="I29" s="119"/>
      <c r="J29" s="117"/>
      <c r="K29" s="117"/>
      <c r="N29" s="88" t="s">
        <v>33</v>
      </c>
      <c r="O29" s="29">
        <f>SUMIF($J:$J,$L$5,$I:$I)</f>
        <v>0</v>
      </c>
    </row>
    <row r="30" spans="2:15" ht="23.25" customHeight="1" x14ac:dyDescent="0.35">
      <c r="H30" s="116"/>
      <c r="I30" s="119"/>
      <c r="J30" s="117"/>
      <c r="K30" s="117"/>
      <c r="N30" s="88" t="s">
        <v>151</v>
      </c>
      <c r="O30" s="29">
        <f>SUMIF($J:$J,$L$12,$I:$I)</f>
        <v>0</v>
      </c>
    </row>
    <row r="31" spans="2:15" ht="23.25" customHeight="1" x14ac:dyDescent="0.35">
      <c r="H31" s="116"/>
      <c r="I31" s="119"/>
      <c r="J31" s="117"/>
      <c r="K31" s="117"/>
      <c r="N31" s="89"/>
      <c r="O31" s="1"/>
    </row>
    <row r="32" spans="2:15" ht="23.25" customHeight="1" x14ac:dyDescent="0.35">
      <c r="H32" s="116"/>
      <c r="I32" s="119"/>
      <c r="J32" s="117"/>
      <c r="K32" s="117"/>
      <c r="N32" s="97" t="s">
        <v>152</v>
      </c>
      <c r="O32" s="28">
        <f>O27+O29-O30</f>
        <v>80000</v>
      </c>
    </row>
    <row r="33" spans="6:17" ht="23.25" customHeight="1" x14ac:dyDescent="0.35">
      <c r="H33" s="116"/>
      <c r="I33" s="119"/>
      <c r="J33" s="117"/>
      <c r="K33" s="117"/>
      <c r="P33" s="77"/>
    </row>
    <row r="34" spans="6:17" ht="23.25" customHeight="1" x14ac:dyDescent="0.35">
      <c r="F34" s="126"/>
      <c r="H34" s="116"/>
      <c r="I34" s="119"/>
      <c r="J34" s="117"/>
      <c r="K34" s="117"/>
      <c r="N34" s="193" t="s">
        <v>225</v>
      </c>
      <c r="O34" s="194"/>
      <c r="P34" s="194"/>
      <c r="Q34" s="195"/>
    </row>
    <row r="35" spans="6:17" ht="23.25" customHeight="1" x14ac:dyDescent="0.35">
      <c r="H35" s="116"/>
      <c r="I35" s="119"/>
      <c r="J35" s="117"/>
      <c r="K35" s="117"/>
      <c r="N35" s="190" t="s">
        <v>220</v>
      </c>
      <c r="O35" s="191"/>
      <c r="P35" s="191"/>
      <c r="Q35" s="192"/>
    </row>
    <row r="36" spans="6:17" ht="23.25" customHeight="1" x14ac:dyDescent="0.35">
      <c r="H36" s="116"/>
      <c r="I36" s="119"/>
      <c r="J36" s="117"/>
      <c r="K36" s="117"/>
      <c r="N36" s="190" t="s">
        <v>221</v>
      </c>
      <c r="O36" s="191"/>
      <c r="P36" s="191"/>
      <c r="Q36" s="192"/>
    </row>
    <row r="37" spans="6:17" ht="23.25" customHeight="1" x14ac:dyDescent="0.35">
      <c r="H37" s="116"/>
      <c r="I37" s="119"/>
      <c r="J37" s="117"/>
      <c r="K37" s="117"/>
      <c r="N37" s="190" t="s">
        <v>222</v>
      </c>
      <c r="O37" s="191"/>
      <c r="P37" s="191"/>
      <c r="Q37" s="192"/>
    </row>
    <row r="38" spans="6:17" ht="23.25" customHeight="1" x14ac:dyDescent="0.35">
      <c r="H38" s="116"/>
      <c r="I38" s="119"/>
      <c r="J38" s="117"/>
      <c r="K38" s="117"/>
      <c r="N38" s="190" t="s">
        <v>223</v>
      </c>
      <c r="O38" s="191"/>
      <c r="P38" s="191"/>
      <c r="Q38" s="192"/>
    </row>
    <row r="39" spans="6:17" ht="23.25" customHeight="1" x14ac:dyDescent="0.35">
      <c r="H39" s="116"/>
      <c r="I39" s="119"/>
      <c r="J39" s="117"/>
      <c r="K39" s="117"/>
      <c r="N39" s="190" t="s">
        <v>224</v>
      </c>
      <c r="O39" s="191"/>
      <c r="P39" s="191"/>
      <c r="Q39" s="192"/>
    </row>
    <row r="40" spans="6:17" ht="23.25" customHeight="1" x14ac:dyDescent="0.35">
      <c r="H40" s="116"/>
      <c r="I40" s="119"/>
      <c r="J40" s="117"/>
      <c r="K40" s="117"/>
      <c r="N40" s="190" t="s">
        <v>250</v>
      </c>
      <c r="O40" s="191"/>
      <c r="P40" s="191"/>
      <c r="Q40" s="192"/>
    </row>
    <row r="41" spans="6:17" ht="23.25" customHeight="1" x14ac:dyDescent="0.35">
      <c r="H41" s="118"/>
      <c r="I41" s="119"/>
      <c r="J41" s="117"/>
      <c r="K41" s="117"/>
      <c r="N41" s="200" t="s">
        <v>251</v>
      </c>
      <c r="O41" s="201"/>
      <c r="P41" s="201"/>
      <c r="Q41" s="202"/>
    </row>
    <row r="42" spans="6:17" ht="23.25" customHeight="1" x14ac:dyDescent="0.35">
      <c r="H42" s="116"/>
      <c r="I42" s="119"/>
      <c r="J42" s="117"/>
      <c r="K42" s="117"/>
    </row>
    <row r="43" spans="6:17" ht="23.25" customHeight="1" x14ac:dyDescent="0.35">
      <c r="H43" s="116"/>
      <c r="I43" s="119"/>
      <c r="J43" s="117"/>
      <c r="K43" s="117"/>
    </row>
    <row r="44" spans="6:17" ht="23.25" customHeight="1" x14ac:dyDescent="0.35">
      <c r="H44" s="116"/>
      <c r="I44" s="119"/>
      <c r="J44" s="117"/>
      <c r="K44" s="117"/>
    </row>
    <row r="45" spans="6:17" ht="23.25" customHeight="1" x14ac:dyDescent="0.35">
      <c r="H45" s="116"/>
      <c r="I45" s="119"/>
      <c r="J45" s="117"/>
      <c r="K45" s="117"/>
    </row>
    <row r="46" spans="6:17" ht="23.25" customHeight="1" x14ac:dyDescent="0.35">
      <c r="H46" s="116"/>
      <c r="I46" s="119"/>
      <c r="J46" s="117"/>
      <c r="K46" s="117"/>
    </row>
    <row r="47" spans="6:17" ht="23.25" customHeight="1" x14ac:dyDescent="0.35">
      <c r="H47" s="116"/>
      <c r="I47" s="119"/>
      <c r="J47" s="117"/>
      <c r="K47" s="117"/>
    </row>
    <row r="48" spans="6:17" ht="23.25" customHeight="1" x14ac:dyDescent="0.35">
      <c r="H48" s="116"/>
      <c r="I48" s="119"/>
      <c r="J48" s="117"/>
      <c r="K48" s="117"/>
    </row>
    <row r="49" spans="8:11" ht="23.25" customHeight="1" x14ac:dyDescent="0.35">
      <c r="H49" s="118"/>
      <c r="I49" s="119"/>
      <c r="J49" s="117"/>
      <c r="K49" s="117"/>
    </row>
    <row r="50" spans="8:11" ht="23.25" customHeight="1" x14ac:dyDescent="0.35">
      <c r="H50" s="116"/>
      <c r="I50" s="119"/>
      <c r="J50" s="117"/>
      <c r="K50" s="117"/>
    </row>
    <row r="51" spans="8:11" ht="23.25" customHeight="1" x14ac:dyDescent="0.35">
      <c r="H51" s="116"/>
      <c r="I51" s="119"/>
      <c r="J51" s="117"/>
      <c r="K51" s="117"/>
    </row>
    <row r="52" spans="8:11" ht="23.25" customHeight="1" x14ac:dyDescent="0.35">
      <c r="H52" s="116"/>
      <c r="I52" s="119"/>
      <c r="J52" s="117"/>
      <c r="K52" s="117"/>
    </row>
    <row r="53" spans="8:11" ht="23.25" customHeight="1" x14ac:dyDescent="0.35">
      <c r="H53" s="116"/>
      <c r="I53" s="119"/>
      <c r="J53" s="117"/>
      <c r="K53" s="117"/>
    </row>
    <row r="54" spans="8:11" ht="23.25" customHeight="1" x14ac:dyDescent="0.35">
      <c r="H54" s="116"/>
      <c r="I54" s="119"/>
      <c r="J54" s="117"/>
      <c r="K54" s="117"/>
    </row>
    <row r="55" spans="8:11" ht="23.25" customHeight="1" x14ac:dyDescent="0.35">
      <c r="H55" s="116"/>
      <c r="I55" s="119"/>
      <c r="J55" s="117"/>
      <c r="K55" s="117"/>
    </row>
    <row r="56" spans="8:11" ht="23.25" customHeight="1" x14ac:dyDescent="0.35">
      <c r="H56" s="116"/>
      <c r="I56" s="119"/>
      <c r="J56" s="117"/>
      <c r="K56" s="117"/>
    </row>
    <row r="57" spans="8:11" ht="23.25" customHeight="1" x14ac:dyDescent="0.35">
      <c r="H57" s="116"/>
      <c r="I57" s="119"/>
      <c r="J57" s="117"/>
      <c r="K57" s="117"/>
    </row>
    <row r="58" spans="8:11" ht="23.25" customHeight="1" x14ac:dyDescent="0.35">
      <c r="H58" s="116"/>
      <c r="I58" s="119"/>
      <c r="J58" s="117"/>
      <c r="K58" s="117"/>
    </row>
    <row r="59" spans="8:11" ht="23.25" customHeight="1" x14ac:dyDescent="0.35">
      <c r="H59" s="118"/>
      <c r="I59" s="121"/>
      <c r="J59" s="117"/>
      <c r="K59" s="117"/>
    </row>
    <row r="60" spans="8:11" ht="23.25" customHeight="1" x14ac:dyDescent="0.35">
      <c r="H60" s="120"/>
      <c r="I60" s="121"/>
      <c r="J60" s="117"/>
      <c r="K60" s="117"/>
    </row>
    <row r="61" spans="8:11" ht="23.25" customHeight="1" x14ac:dyDescent="0.35">
      <c r="H61" s="120"/>
      <c r="I61" s="121"/>
      <c r="J61" s="117"/>
      <c r="K61" s="117"/>
    </row>
    <row r="62" spans="8:11" ht="23.25" customHeight="1" x14ac:dyDescent="0.35">
      <c r="H62" s="120"/>
      <c r="I62" s="121"/>
      <c r="J62" s="117"/>
      <c r="K62" s="117"/>
    </row>
    <row r="63" spans="8:11" ht="23.25" customHeight="1" x14ac:dyDescent="0.35">
      <c r="H63" s="120"/>
      <c r="I63" s="121"/>
      <c r="J63" s="117"/>
      <c r="K63" s="117"/>
    </row>
    <row r="64" spans="8:11" ht="23.25" customHeight="1" x14ac:dyDescent="0.35">
      <c r="H64" s="120"/>
      <c r="I64" s="121"/>
      <c r="J64" s="117"/>
      <c r="K64" s="117"/>
    </row>
    <row r="65" spans="8:11" ht="23.25" customHeight="1" x14ac:dyDescent="0.35">
      <c r="H65" s="120"/>
      <c r="I65" s="121"/>
      <c r="J65" s="117"/>
      <c r="K65" s="117"/>
    </row>
    <row r="66" spans="8:11" ht="23.25" customHeight="1" x14ac:dyDescent="0.35">
      <c r="H66" s="120"/>
      <c r="I66" s="121"/>
      <c r="J66" s="117"/>
      <c r="K66" s="117"/>
    </row>
    <row r="67" spans="8:11" ht="23.25" customHeight="1" x14ac:dyDescent="0.35">
      <c r="H67" s="120"/>
      <c r="I67" s="121"/>
      <c r="J67" s="117"/>
      <c r="K67" s="117"/>
    </row>
    <row r="68" spans="8:11" ht="23.25" customHeight="1" x14ac:dyDescent="0.35">
      <c r="H68" s="120"/>
      <c r="I68" s="121"/>
      <c r="J68" s="117"/>
      <c r="K68" s="117"/>
    </row>
    <row r="69" spans="8:11" ht="23.25" customHeight="1" x14ac:dyDescent="0.35">
      <c r="H69" s="120"/>
      <c r="I69" s="121"/>
      <c r="J69" s="117"/>
      <c r="K69" s="117"/>
    </row>
    <row r="70" spans="8:11" ht="23.25" customHeight="1" x14ac:dyDescent="0.35">
      <c r="H70" s="116"/>
      <c r="I70" s="119"/>
      <c r="J70" s="117"/>
      <c r="K70" s="117"/>
    </row>
    <row r="71" spans="8:11" ht="23.25" customHeight="1" x14ac:dyDescent="0.35">
      <c r="J71" s="3"/>
      <c r="K71" s="3"/>
    </row>
    <row r="80" spans="8:11" ht="23.25" customHeight="1" x14ac:dyDescent="0.35">
      <c r="J80" s="3"/>
      <c r="K80" s="3"/>
    </row>
    <row r="81" spans="10:11" ht="23.25" customHeight="1" x14ac:dyDescent="0.35">
      <c r="J81" s="3"/>
      <c r="K81" s="3"/>
    </row>
    <row r="82" spans="10:11" ht="23.25" customHeight="1" x14ac:dyDescent="0.35">
      <c r="J82" s="3"/>
      <c r="K82" s="3"/>
    </row>
    <row r="83" spans="10:11" ht="23.25" customHeight="1" x14ac:dyDescent="0.35">
      <c r="J83" s="3"/>
      <c r="K83" s="3"/>
    </row>
    <row r="84" spans="10:11" ht="23.25" customHeight="1" x14ac:dyDescent="0.35">
      <c r="J84" s="3"/>
      <c r="K84" s="3"/>
    </row>
    <row r="85" spans="10:11" ht="23.25" customHeight="1" x14ac:dyDescent="0.35">
      <c r="J85" s="3"/>
      <c r="K85" s="3"/>
    </row>
    <row r="86" spans="10:11" ht="23.25" customHeight="1" x14ac:dyDescent="0.35">
      <c r="J86" s="3"/>
      <c r="K86" s="3"/>
    </row>
    <row r="87" spans="10:11" ht="23.25" customHeight="1" x14ac:dyDescent="0.35">
      <c r="J87" s="3"/>
      <c r="K87" s="3"/>
    </row>
    <row r="88" spans="10:11" ht="23.25" customHeight="1" x14ac:dyDescent="0.35">
      <c r="J88" s="3"/>
      <c r="K88" s="3"/>
    </row>
    <row r="89" spans="10:11" ht="23.25" customHeight="1" x14ac:dyDescent="0.35">
      <c r="J89" s="3"/>
      <c r="K89" s="3"/>
    </row>
    <row r="90" spans="10:11" ht="23.25" customHeight="1" x14ac:dyDescent="0.35">
      <c r="J90" s="3"/>
      <c r="K90" s="3"/>
    </row>
    <row r="91" spans="10:11" ht="23.25" customHeight="1" x14ac:dyDescent="0.35">
      <c r="J91" s="3"/>
      <c r="K91" s="3"/>
    </row>
    <row r="92" spans="10:11" ht="23.25" customHeight="1" x14ac:dyDescent="0.35">
      <c r="J92" s="3"/>
      <c r="K92" s="3"/>
    </row>
    <row r="93" spans="10:11" ht="23.25" customHeight="1" x14ac:dyDescent="0.35">
      <c r="J93" s="3"/>
      <c r="K93" s="3"/>
    </row>
    <row r="94" spans="10:11" ht="23.25" customHeight="1" x14ac:dyDescent="0.35">
      <c r="J94" s="3"/>
      <c r="K94" s="3"/>
    </row>
    <row r="95" spans="10:11" ht="23.25" customHeight="1" x14ac:dyDescent="0.35">
      <c r="J95" s="3"/>
      <c r="K95" s="3"/>
    </row>
    <row r="96" spans="10:11" ht="23.25" customHeight="1" x14ac:dyDescent="0.35">
      <c r="J96" s="3"/>
      <c r="K96" s="3"/>
    </row>
    <row r="97" spans="10:11" ht="23.25" customHeight="1" x14ac:dyDescent="0.35">
      <c r="J97" s="3"/>
      <c r="K97" s="3"/>
    </row>
    <row r="98" spans="10:11" ht="23.25" customHeight="1" x14ac:dyDescent="0.35">
      <c r="J98" s="3"/>
      <c r="K98" s="3"/>
    </row>
    <row r="99" spans="10:11" ht="23.25" customHeight="1" x14ac:dyDescent="0.35">
      <c r="J99" s="3"/>
      <c r="K99" s="3"/>
    </row>
    <row r="100" spans="10:11" ht="23.25" customHeight="1" x14ac:dyDescent="0.35">
      <c r="J100" s="3"/>
      <c r="K100" s="3"/>
    </row>
    <row r="101" spans="10:11" ht="23.25" customHeight="1" x14ac:dyDescent="0.35">
      <c r="J101" s="3"/>
      <c r="K101" s="3"/>
    </row>
    <row r="102" spans="10:11" ht="23.25" customHeight="1" x14ac:dyDescent="0.35">
      <c r="J102" s="3"/>
      <c r="K102" s="3"/>
    </row>
    <row r="103" spans="10:11" ht="23.25" customHeight="1" x14ac:dyDescent="0.35">
      <c r="J103" s="3"/>
      <c r="K103" s="3"/>
    </row>
    <row r="104" spans="10:11" ht="23.25" customHeight="1" x14ac:dyDescent="0.35">
      <c r="J104" s="3"/>
      <c r="K104" s="3"/>
    </row>
    <row r="105" spans="10:11" ht="23.25" customHeight="1" x14ac:dyDescent="0.35">
      <c r="J105" s="3"/>
      <c r="K105" s="3"/>
    </row>
    <row r="106" spans="10:11" ht="23.25" customHeight="1" x14ac:dyDescent="0.35">
      <c r="J106" s="3"/>
      <c r="K106" s="3"/>
    </row>
    <row r="107" spans="10:11" ht="23.25" customHeight="1" x14ac:dyDescent="0.35">
      <c r="J107" s="3"/>
      <c r="K107" s="3"/>
    </row>
    <row r="108" spans="10:11" ht="23.25" customHeight="1" x14ac:dyDescent="0.35">
      <c r="J108" s="3"/>
      <c r="K108" s="3"/>
    </row>
    <row r="109" spans="10:11" ht="23.25" customHeight="1" x14ac:dyDescent="0.35">
      <c r="J109" s="3"/>
      <c r="K109" s="3"/>
    </row>
    <row r="110" spans="10:11" ht="23.25" customHeight="1" x14ac:dyDescent="0.35">
      <c r="J110" s="3"/>
      <c r="K110" s="3"/>
    </row>
    <row r="111" spans="10:11" ht="23.25" customHeight="1" x14ac:dyDescent="0.35">
      <c r="J111" s="3"/>
      <c r="K111" s="3"/>
    </row>
    <row r="112" spans="10:11" ht="23.25" customHeight="1" x14ac:dyDescent="0.35">
      <c r="J112" s="3"/>
      <c r="K112" s="3"/>
    </row>
    <row r="113" spans="10:11" ht="23.25" customHeight="1" x14ac:dyDescent="0.35">
      <c r="J113" s="3"/>
      <c r="K113" s="3"/>
    </row>
    <row r="114" spans="10:11" ht="23.25" customHeight="1" x14ac:dyDescent="0.35">
      <c r="J114" s="3"/>
      <c r="K114" s="3"/>
    </row>
    <row r="115" spans="10:11" ht="23.25" customHeight="1" x14ac:dyDescent="0.35">
      <c r="J115" s="3"/>
      <c r="K115" s="3"/>
    </row>
    <row r="116" spans="10:11" ht="23.25" customHeight="1" x14ac:dyDescent="0.35">
      <c r="J116" s="3"/>
      <c r="K116" s="3"/>
    </row>
    <row r="117" spans="10:11" ht="23.25" customHeight="1" x14ac:dyDescent="0.35">
      <c r="J117" s="3"/>
      <c r="K117" s="3"/>
    </row>
    <row r="118" spans="10:11" ht="23.25" customHeight="1" x14ac:dyDescent="0.35">
      <c r="J118" s="3"/>
      <c r="K118" s="3"/>
    </row>
    <row r="119" spans="10:11" ht="23.25" customHeight="1" x14ac:dyDescent="0.35">
      <c r="J119" s="3"/>
      <c r="K119" s="3"/>
    </row>
    <row r="120" spans="10:11" ht="23.25" customHeight="1" x14ac:dyDescent="0.35">
      <c r="J120" s="3"/>
      <c r="K120" s="3"/>
    </row>
    <row r="121" spans="10:11" ht="23.25" customHeight="1" x14ac:dyDescent="0.35">
      <c r="J121" s="3"/>
      <c r="K121" s="3"/>
    </row>
    <row r="122" spans="10:11" ht="23.25" customHeight="1" x14ac:dyDescent="0.35">
      <c r="J122" s="3"/>
      <c r="K122" s="3"/>
    </row>
    <row r="123" spans="10:11" ht="23.25" customHeight="1" x14ac:dyDescent="0.35">
      <c r="J123" s="3"/>
      <c r="K123" s="3"/>
    </row>
    <row r="124" spans="10:11" ht="23.25" customHeight="1" x14ac:dyDescent="0.35">
      <c r="J124" s="3"/>
      <c r="K124" s="3"/>
    </row>
    <row r="125" spans="10:11" ht="23.25" customHeight="1" x14ac:dyDescent="0.35">
      <c r="J125" s="3"/>
      <c r="K125" s="3"/>
    </row>
    <row r="126" spans="10:11" ht="23.25" customHeight="1" x14ac:dyDescent="0.35">
      <c r="J126" s="3"/>
      <c r="K126" s="3"/>
    </row>
    <row r="127" spans="10:11" ht="23.25" customHeight="1" x14ac:dyDescent="0.35">
      <c r="J127" s="3"/>
      <c r="K127" s="3"/>
    </row>
    <row r="128" spans="10:11" ht="23.25" customHeight="1" x14ac:dyDescent="0.35">
      <c r="J128" s="3"/>
      <c r="K128" s="3"/>
    </row>
    <row r="129" spans="10:11" ht="23.25" customHeight="1" x14ac:dyDescent="0.35">
      <c r="J129" s="3"/>
      <c r="K129" s="3"/>
    </row>
    <row r="130" spans="10:11" ht="23.25" customHeight="1" x14ac:dyDescent="0.35">
      <c r="J130" s="3"/>
      <c r="K130" s="3"/>
    </row>
    <row r="131" spans="10:11" ht="23.25" customHeight="1" x14ac:dyDescent="0.35">
      <c r="J131" s="3"/>
      <c r="K131" s="3"/>
    </row>
    <row r="132" spans="10:11" ht="23.25" customHeight="1" x14ac:dyDescent="0.35">
      <c r="J132" s="3"/>
      <c r="K132" s="3"/>
    </row>
    <row r="133" spans="10:11" ht="23.25" customHeight="1" x14ac:dyDescent="0.35">
      <c r="J133" s="3"/>
      <c r="K133" s="3"/>
    </row>
    <row r="134" spans="10:11" ht="23.25" customHeight="1" x14ac:dyDescent="0.35">
      <c r="J134" s="3"/>
      <c r="K134" s="3"/>
    </row>
    <row r="135" spans="10:11" ht="23.25" customHeight="1" x14ac:dyDescent="0.35">
      <c r="J135" s="3"/>
      <c r="K135" s="3"/>
    </row>
    <row r="136" spans="10:11" ht="23.25" customHeight="1" x14ac:dyDescent="0.35">
      <c r="J136" s="3"/>
      <c r="K136" s="3"/>
    </row>
    <row r="137" spans="10:11" ht="23.25" customHeight="1" x14ac:dyDescent="0.35">
      <c r="J137" s="3"/>
      <c r="K137" s="3"/>
    </row>
    <row r="138" spans="10:11" ht="23.25" customHeight="1" x14ac:dyDescent="0.35">
      <c r="J138" s="3"/>
      <c r="K138" s="3"/>
    </row>
    <row r="139" spans="10:11" ht="23.25" customHeight="1" x14ac:dyDescent="0.35">
      <c r="J139" s="3"/>
      <c r="K139" s="3"/>
    </row>
    <row r="140" spans="10:11" ht="23.25" customHeight="1" x14ac:dyDescent="0.35">
      <c r="J140" s="3"/>
      <c r="K140" s="3"/>
    </row>
    <row r="141" spans="10:11" ht="23.25" customHeight="1" x14ac:dyDescent="0.35">
      <c r="J141" s="3"/>
      <c r="K141" s="3"/>
    </row>
    <row r="142" spans="10:11" ht="23.25" customHeight="1" x14ac:dyDescent="0.35">
      <c r="J142" s="3"/>
      <c r="K142" s="3"/>
    </row>
    <row r="143" spans="10:11" ht="23.25" customHeight="1" x14ac:dyDescent="0.35">
      <c r="J143" s="3"/>
      <c r="K143" s="3"/>
    </row>
    <row r="144" spans="10:11" ht="23.25" customHeight="1" x14ac:dyDescent="0.35">
      <c r="J144" s="3"/>
      <c r="K144" s="3"/>
    </row>
    <row r="145" spans="10:11" ht="23.25" customHeight="1" x14ac:dyDescent="0.35">
      <c r="J145" s="3"/>
      <c r="K145" s="3"/>
    </row>
    <row r="146" spans="10:11" ht="23.25" customHeight="1" x14ac:dyDescent="0.35">
      <c r="J146" s="3"/>
      <c r="K146" s="3"/>
    </row>
    <row r="147" spans="10:11" ht="23.25" customHeight="1" x14ac:dyDescent="0.35">
      <c r="J147" s="3"/>
      <c r="K147" s="3"/>
    </row>
    <row r="148" spans="10:11" ht="23.25" customHeight="1" x14ac:dyDescent="0.35">
      <c r="J148" s="3"/>
      <c r="K148" s="3"/>
    </row>
    <row r="149" spans="10:11" ht="23.25" customHeight="1" x14ac:dyDescent="0.35">
      <c r="J149" s="3"/>
      <c r="K149" s="3"/>
    </row>
    <row r="150" spans="10:11" ht="23.25" customHeight="1" x14ac:dyDescent="0.35">
      <c r="J150" s="3"/>
      <c r="K150" s="3"/>
    </row>
    <row r="151" spans="10:11" ht="23.25" customHeight="1" x14ac:dyDescent="0.35">
      <c r="J151" s="3"/>
      <c r="K151" s="3"/>
    </row>
    <row r="152" spans="10:11" ht="23.25" customHeight="1" x14ac:dyDescent="0.35">
      <c r="J152" s="3"/>
      <c r="K152" s="3"/>
    </row>
    <row r="153" spans="10:11" ht="23.25" customHeight="1" x14ac:dyDescent="0.35">
      <c r="J153" s="3"/>
      <c r="K153" s="3"/>
    </row>
    <row r="154" spans="10:11" ht="23.25" customHeight="1" x14ac:dyDescent="0.35">
      <c r="J154" s="3"/>
      <c r="K154" s="3"/>
    </row>
    <row r="155" spans="10:11" ht="23.25" customHeight="1" x14ac:dyDescent="0.35">
      <c r="J155" s="3"/>
      <c r="K155" s="3"/>
    </row>
    <row r="156" spans="10:11" ht="23.25" customHeight="1" x14ac:dyDescent="0.35">
      <c r="J156" s="3"/>
      <c r="K156" s="3"/>
    </row>
    <row r="157" spans="10:11" ht="23.25" customHeight="1" x14ac:dyDescent="0.35">
      <c r="J157" s="3"/>
      <c r="K157" s="3"/>
    </row>
    <row r="158" spans="10:11" ht="23.25" customHeight="1" x14ac:dyDescent="0.35">
      <c r="J158" s="3"/>
      <c r="K158" s="3"/>
    </row>
  </sheetData>
  <sheetProtection selectLockedCells="1"/>
  <mergeCells count="7">
    <mergeCell ref="N41:Q41"/>
    <mergeCell ref="H3:K3"/>
    <mergeCell ref="H2:K2"/>
    <mergeCell ref="B7:C7"/>
    <mergeCell ref="B2:C2"/>
    <mergeCell ref="E7:F7"/>
    <mergeCell ref="E2:F2"/>
  </mergeCells>
  <dataValidations count="4">
    <dataValidation type="list" allowBlank="1" showInputMessage="1" showErrorMessage="1" sqref="J159:J1048576 J6:J70" xr:uid="{00000000-0002-0000-0200-000000000000}">
      <formula1>PLTYPE</formula1>
    </dataValidation>
    <dataValidation type="list" allowBlank="1" showInputMessage="1" showErrorMessage="1" sqref="K159:K1048576 K6:K70" xr:uid="{00000000-0002-0000-0200-000001000000}">
      <formula1>PLACTIVITY</formula1>
    </dataValidation>
    <dataValidation type="whole" operator="lessThan" allowBlank="1" showInputMessage="1" showErrorMessage="1" sqref="C14" xr:uid="{00000000-0002-0000-0200-000003000000}">
      <formula1>10</formula1>
    </dataValidation>
    <dataValidation type="whole" errorStyle="warning" operator="greaterThan" allowBlank="1" showInputMessage="1" showErrorMessage="1" errorTitle="Input error" error="The number in this box should be a number of minutes. _x000a__x000a_If you have entered minutes press Yes, otherwise press No and enter a value in minutes" sqref="C8:C9" xr:uid="{F1ABD25C-751E-459F-9FE6-D27B8586BFEA}">
      <formula1>2</formula1>
    </dataValidation>
  </dataValidations>
  <hyperlinks>
    <hyperlink ref="H3" location="'Master Data'!H60" display="Click here for instructions on how to enter this information" xr:uid="{00000000-0004-0000-0200-000000000000}"/>
    <hyperlink ref="H3:K3" location="'Master Data'!N41" display="Click here for instructions on how to enter this information" xr:uid="{00000000-0004-0000-0200-000001000000}"/>
  </hyperlinks>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B59"/>
  <sheetViews>
    <sheetView zoomScale="99" zoomScaleNormal="99" workbookViewId="0">
      <selection activeCell="E16" sqref="E16"/>
    </sheetView>
  </sheetViews>
  <sheetFormatPr defaultColWidth="9.08984375" defaultRowHeight="21" customHeight="1" x14ac:dyDescent="0.35"/>
  <cols>
    <col min="1" max="1" width="9.08984375" style="3"/>
    <col min="2" max="2" width="56.453125" style="42" bestFit="1" customWidth="1"/>
    <col min="3" max="3" width="14.453125" style="5" bestFit="1" customWidth="1"/>
    <col min="4" max="4" width="14.6328125" style="3" bestFit="1" customWidth="1"/>
    <col min="5" max="5" width="10" style="3" customWidth="1"/>
    <col min="6" max="6" width="42.6328125" style="17" bestFit="1" customWidth="1"/>
    <col min="7" max="7" width="9.90625" style="5" customWidth="1"/>
    <col min="8" max="8" width="9.08984375" style="3"/>
    <col min="9" max="9" width="7.36328125" style="5" bestFit="1" customWidth="1"/>
    <col min="10" max="10" width="37.453125" style="3" customWidth="1"/>
    <col min="11" max="11" width="10.54296875" style="5" bestFit="1" customWidth="1"/>
    <col min="12" max="16384" width="9.08984375" style="3"/>
  </cols>
  <sheetData>
    <row r="1" spans="1:28" s="8" customFormat="1" ht="21" customHeight="1" x14ac:dyDescent="0.35">
      <c r="A1" s="33"/>
      <c r="B1" s="39"/>
      <c r="C1" s="11"/>
      <c r="D1" s="7"/>
      <c r="E1" s="7"/>
      <c r="F1" s="16"/>
      <c r="G1" s="11"/>
      <c r="H1" s="7"/>
      <c r="I1" s="11"/>
      <c r="J1" s="7"/>
      <c r="K1" s="11"/>
      <c r="L1" s="7"/>
      <c r="M1" s="7"/>
      <c r="N1" s="7"/>
      <c r="O1" s="7"/>
      <c r="P1" s="7"/>
      <c r="Q1" s="7"/>
      <c r="R1" s="7"/>
      <c r="S1" s="7"/>
      <c r="T1" s="7"/>
      <c r="U1" s="7"/>
      <c r="V1" s="7"/>
      <c r="W1" s="7"/>
      <c r="X1" s="7"/>
      <c r="Y1" s="7"/>
      <c r="Z1" s="7"/>
      <c r="AA1" s="7"/>
      <c r="AB1" s="7"/>
    </row>
    <row r="2" spans="1:28" s="8" customFormat="1" ht="21" customHeight="1" x14ac:dyDescent="0.35">
      <c r="A2" s="33"/>
      <c r="B2" s="198" t="s">
        <v>0</v>
      </c>
      <c r="C2" s="198"/>
      <c r="D2" s="7"/>
      <c r="E2" s="7"/>
      <c r="F2" s="198" t="s">
        <v>47</v>
      </c>
      <c r="G2" s="198"/>
      <c r="H2" s="7"/>
      <c r="I2" s="11"/>
      <c r="J2" s="198" t="s">
        <v>274</v>
      </c>
      <c r="K2" s="198"/>
      <c r="L2" s="7"/>
      <c r="M2" s="7"/>
      <c r="N2" s="7"/>
      <c r="O2" s="7"/>
      <c r="P2" s="7"/>
      <c r="Q2" s="7"/>
      <c r="R2" s="7"/>
      <c r="S2" s="7"/>
      <c r="T2" s="7"/>
      <c r="U2" s="7"/>
      <c r="V2" s="7"/>
      <c r="W2" s="7"/>
      <c r="X2" s="7"/>
      <c r="Y2" s="7"/>
      <c r="Z2" s="7"/>
      <c r="AA2" s="7"/>
      <c r="AB2" s="7"/>
    </row>
    <row r="3" spans="1:28" s="8" customFormat="1" ht="21" customHeight="1" x14ac:dyDescent="0.35">
      <c r="A3" s="33"/>
      <c r="B3" s="38" t="s">
        <v>243</v>
      </c>
      <c r="C3" s="46">
        <v>43739</v>
      </c>
      <c r="D3" s="7"/>
      <c r="E3" s="7"/>
      <c r="F3" s="38" t="s">
        <v>41</v>
      </c>
      <c r="G3" s="181">
        <v>25</v>
      </c>
      <c r="H3" s="7"/>
      <c r="I3" s="11"/>
      <c r="J3" s="38" t="s">
        <v>325</v>
      </c>
      <c r="K3" s="171">
        <f>Average_GP_Revenue</f>
        <v>12</v>
      </c>
      <c r="L3" s="7"/>
      <c r="M3" s="7"/>
      <c r="N3" s="7"/>
      <c r="O3" s="7"/>
      <c r="P3" s="7"/>
      <c r="Q3" s="7"/>
      <c r="R3" s="7"/>
      <c r="S3" s="7"/>
      <c r="T3" s="7"/>
      <c r="U3" s="7"/>
      <c r="V3" s="7"/>
      <c r="W3" s="7"/>
      <c r="X3" s="7"/>
      <c r="Y3" s="7"/>
      <c r="Z3" s="7"/>
      <c r="AA3" s="7"/>
      <c r="AB3" s="7"/>
    </row>
    <row r="4" spans="1:28" s="8" customFormat="1" ht="21" customHeight="1" x14ac:dyDescent="0.35">
      <c r="A4" s="33"/>
      <c r="B4" s="38" t="s">
        <v>61</v>
      </c>
      <c r="C4" s="23">
        <v>3</v>
      </c>
      <c r="D4" s="7"/>
      <c r="E4" s="7"/>
      <c r="F4" s="38" t="s">
        <v>42</v>
      </c>
      <c r="G4" s="181">
        <v>20</v>
      </c>
      <c r="H4" s="7"/>
      <c r="I4" s="11"/>
      <c r="J4" s="38" t="s">
        <v>9</v>
      </c>
      <c r="K4" s="171">
        <f>15/1.15</f>
        <v>13.043478260869566</v>
      </c>
      <c r="L4" s="7"/>
      <c r="M4" s="7"/>
      <c r="N4" s="7"/>
      <c r="O4" s="7"/>
      <c r="P4" s="7"/>
      <c r="Q4" s="7"/>
      <c r="R4" s="7"/>
      <c r="S4" s="7"/>
      <c r="T4" s="7"/>
      <c r="U4" s="7"/>
      <c r="V4" s="7"/>
      <c r="W4" s="7"/>
      <c r="X4" s="7"/>
      <c r="Y4" s="7"/>
      <c r="Z4" s="7"/>
      <c r="AA4" s="7"/>
      <c r="AB4" s="7"/>
    </row>
    <row r="5" spans="1:28" s="8" customFormat="1" ht="21" customHeight="1" x14ac:dyDescent="0.35">
      <c r="A5" s="33"/>
      <c r="B5" s="38" t="s">
        <v>3</v>
      </c>
      <c r="C5" s="23">
        <v>15</v>
      </c>
      <c r="D5" s="33"/>
      <c r="E5" s="7"/>
      <c r="F5" s="38" t="s">
        <v>43</v>
      </c>
      <c r="G5" s="181">
        <v>20</v>
      </c>
      <c r="H5" s="7"/>
      <c r="I5" s="11"/>
      <c r="J5" s="38" t="s">
        <v>4</v>
      </c>
      <c r="K5" s="171">
        <v>0</v>
      </c>
      <c r="L5" s="11"/>
      <c r="M5" s="11"/>
      <c r="N5" s="7"/>
      <c r="O5" s="7"/>
      <c r="P5" s="7"/>
      <c r="Q5" s="7"/>
      <c r="R5" s="7"/>
      <c r="S5" s="7"/>
      <c r="T5" s="7"/>
      <c r="U5" s="7"/>
      <c r="V5" s="7"/>
      <c r="W5" s="7"/>
      <c r="X5" s="7"/>
      <c r="Y5" s="7"/>
      <c r="Z5" s="7"/>
      <c r="AA5" s="7"/>
      <c r="AB5" s="7"/>
    </row>
    <row r="6" spans="1:28" s="8" customFormat="1" ht="21" customHeight="1" x14ac:dyDescent="0.35">
      <c r="A6" s="33"/>
      <c r="B6" s="38" t="s">
        <v>265</v>
      </c>
      <c r="C6" s="23">
        <v>4</v>
      </c>
      <c r="D6" s="7"/>
      <c r="E6" s="7"/>
      <c r="F6" s="38" t="s">
        <v>44</v>
      </c>
      <c r="G6" s="181">
        <v>20</v>
      </c>
      <c r="H6" s="7"/>
      <c r="I6" s="11"/>
      <c r="J6" s="7"/>
      <c r="K6" s="11"/>
      <c r="L6" s="7"/>
      <c r="M6" s="7"/>
      <c r="N6" s="7"/>
      <c r="O6" s="7"/>
      <c r="P6" s="7"/>
      <c r="Q6" s="7"/>
      <c r="R6" s="7"/>
      <c r="S6" s="7"/>
      <c r="T6" s="7"/>
      <c r="U6" s="7"/>
      <c r="V6" s="7"/>
      <c r="W6" s="7"/>
      <c r="X6" s="7"/>
      <c r="Y6" s="7"/>
      <c r="Z6" s="7"/>
      <c r="AA6" s="7"/>
      <c r="AB6" s="7"/>
    </row>
    <row r="7" spans="1:28" s="8" customFormat="1" ht="21" customHeight="1" x14ac:dyDescent="0.35">
      <c r="A7" s="33"/>
      <c r="B7" s="38" t="s">
        <v>51</v>
      </c>
      <c r="C7" s="123">
        <f>IFERROR(GP_triage_Session/GP_triage_Call_Length,0)</f>
        <v>3.75</v>
      </c>
      <c r="D7" s="7"/>
      <c r="E7" s="7"/>
      <c r="F7" s="38" t="s">
        <v>45</v>
      </c>
      <c r="G7" s="181">
        <v>20</v>
      </c>
      <c r="H7" s="7"/>
      <c r="I7" s="11"/>
      <c r="J7" s="7"/>
      <c r="K7" s="11"/>
      <c r="L7" s="7"/>
      <c r="M7" s="7"/>
      <c r="N7" s="7"/>
      <c r="O7" s="7"/>
      <c r="P7" s="7"/>
      <c r="Q7" s="7"/>
      <c r="R7" s="7"/>
      <c r="S7" s="7"/>
      <c r="T7" s="7"/>
      <c r="U7" s="7"/>
      <c r="V7" s="7"/>
      <c r="W7" s="7"/>
      <c r="X7" s="7"/>
      <c r="Y7" s="7"/>
      <c r="Z7" s="7"/>
      <c r="AA7" s="7"/>
      <c r="AB7" s="7"/>
    </row>
    <row r="8" spans="1:28" s="8" customFormat="1" ht="21" customHeight="1" x14ac:dyDescent="0.35">
      <c r="A8" s="33"/>
      <c r="B8" s="38" t="s">
        <v>52</v>
      </c>
      <c r="C8" s="173">
        <v>0.8</v>
      </c>
      <c r="D8" s="7"/>
      <c r="E8" s="7"/>
      <c r="F8" s="38" t="s">
        <v>286</v>
      </c>
      <c r="G8" s="181"/>
      <c r="H8" s="7"/>
      <c r="I8" s="11"/>
      <c r="J8" s="7"/>
      <c r="K8" s="11"/>
      <c r="L8" s="7"/>
      <c r="M8" s="7"/>
      <c r="N8" s="7"/>
      <c r="O8" s="7"/>
      <c r="P8" s="7"/>
      <c r="Q8" s="7"/>
      <c r="R8" s="7"/>
      <c r="S8" s="7"/>
      <c r="T8" s="7"/>
      <c r="U8" s="7"/>
      <c r="V8" s="7"/>
      <c r="W8" s="7"/>
      <c r="X8" s="7"/>
      <c r="Y8" s="7"/>
      <c r="Z8" s="7"/>
      <c r="AA8" s="7"/>
      <c r="AB8" s="7"/>
    </row>
    <row r="9" spans="1:28" s="8" customFormat="1" ht="21" customHeight="1" x14ac:dyDescent="0.35">
      <c r="A9" s="33"/>
      <c r="B9" s="38" t="s">
        <v>53</v>
      </c>
      <c r="C9" s="23">
        <v>52</v>
      </c>
      <c r="D9" s="7"/>
      <c r="E9" s="7"/>
      <c r="F9" s="38" t="s">
        <v>287</v>
      </c>
      <c r="G9" s="181"/>
      <c r="H9" s="7"/>
      <c r="I9" s="7"/>
      <c r="J9" s="7"/>
      <c r="K9" s="11"/>
      <c r="L9" s="7"/>
      <c r="M9" s="7"/>
      <c r="N9" s="7"/>
      <c r="O9" s="7"/>
      <c r="P9" s="7"/>
      <c r="Q9" s="7"/>
      <c r="R9" s="7"/>
      <c r="S9" s="7"/>
      <c r="T9" s="7"/>
      <c r="U9" s="7"/>
      <c r="V9" s="7"/>
      <c r="W9" s="7"/>
      <c r="X9" s="7"/>
      <c r="Y9" s="7"/>
      <c r="Z9" s="7"/>
      <c r="AA9" s="7"/>
      <c r="AB9" s="7"/>
    </row>
    <row r="10" spans="1:28" s="8" customFormat="1" ht="21" customHeight="1" x14ac:dyDescent="0.35">
      <c r="A10" s="33"/>
      <c r="B10" s="38" t="s">
        <v>119</v>
      </c>
      <c r="C10" s="124">
        <v>0</v>
      </c>
      <c r="D10" s="7"/>
      <c r="E10" s="7"/>
      <c r="F10" s="38" t="s">
        <v>46</v>
      </c>
      <c r="G10" s="37">
        <f>SUM(G3:G9)</f>
        <v>105</v>
      </c>
      <c r="H10" s="7"/>
      <c r="I10" s="7"/>
      <c r="J10" s="7"/>
      <c r="K10" s="11"/>
      <c r="L10" s="7"/>
      <c r="M10" s="7"/>
      <c r="N10" s="7"/>
      <c r="O10" s="7"/>
      <c r="P10" s="7"/>
      <c r="Q10" s="7"/>
      <c r="R10" s="7"/>
      <c r="S10" s="7"/>
      <c r="T10" s="7"/>
      <c r="U10" s="7"/>
      <c r="V10" s="7"/>
      <c r="W10" s="7"/>
      <c r="X10" s="7"/>
      <c r="Y10" s="7"/>
      <c r="Z10" s="7"/>
      <c r="AA10" s="7"/>
      <c r="AB10" s="7"/>
    </row>
    <row r="11" spans="1:28" s="8" customFormat="1" ht="21" customHeight="1" x14ac:dyDescent="0.35">
      <c r="A11" s="33"/>
      <c r="B11" s="39"/>
      <c r="C11" s="11"/>
      <c r="D11" s="7"/>
      <c r="E11" s="7"/>
      <c r="F11" s="16"/>
      <c r="G11" s="11"/>
      <c r="H11" s="7"/>
      <c r="I11" s="11"/>
      <c r="J11" s="7"/>
      <c r="K11" s="11"/>
      <c r="L11" s="7"/>
      <c r="M11" s="7"/>
      <c r="N11" s="7"/>
      <c r="O11" s="7"/>
      <c r="P11" s="7"/>
      <c r="Q11" s="7"/>
      <c r="R11" s="7"/>
      <c r="S11" s="7"/>
      <c r="T11" s="7"/>
      <c r="U11" s="7"/>
      <c r="V11" s="7"/>
      <c r="W11" s="7"/>
      <c r="X11" s="7"/>
      <c r="Y11" s="7"/>
      <c r="Z11" s="7"/>
      <c r="AA11" s="7"/>
      <c r="AB11" s="7"/>
    </row>
    <row r="12" spans="1:28" s="8" customFormat="1" ht="21" customHeight="1" x14ac:dyDescent="0.35">
      <c r="A12" s="33"/>
      <c r="B12" s="213" t="s">
        <v>49</v>
      </c>
      <c r="C12" s="213"/>
      <c r="D12" s="213"/>
      <c r="E12" s="213"/>
      <c r="F12" s="213"/>
      <c r="G12" s="213"/>
      <c r="H12" s="213"/>
      <c r="I12" s="213"/>
      <c r="J12" s="213"/>
      <c r="K12" s="213"/>
      <c r="L12" s="7"/>
      <c r="M12" s="7"/>
      <c r="N12" s="7"/>
      <c r="O12" s="7"/>
      <c r="P12" s="7"/>
      <c r="Q12" s="7"/>
      <c r="R12" s="7"/>
      <c r="S12" s="7"/>
      <c r="T12" s="7"/>
      <c r="U12" s="7"/>
      <c r="V12" s="7"/>
      <c r="W12" s="7"/>
      <c r="X12" s="7"/>
      <c r="Y12" s="7"/>
      <c r="Z12" s="7"/>
      <c r="AA12" s="7"/>
      <c r="AB12" s="7"/>
    </row>
    <row r="13" spans="1:28" s="8" customFormat="1" ht="21" customHeight="1" x14ac:dyDescent="0.35">
      <c r="A13" s="33"/>
      <c r="B13" s="33"/>
      <c r="C13" s="11"/>
      <c r="D13" s="7"/>
      <c r="E13" s="7"/>
      <c r="F13" s="16"/>
      <c r="G13" s="11"/>
      <c r="H13" s="7"/>
      <c r="I13" s="11"/>
      <c r="J13" s="7"/>
      <c r="K13" s="11"/>
      <c r="L13" s="7"/>
      <c r="M13" s="7"/>
      <c r="N13" s="7"/>
      <c r="O13" s="7"/>
      <c r="P13" s="7"/>
      <c r="Q13" s="7"/>
      <c r="R13" s="7"/>
      <c r="S13" s="7"/>
      <c r="T13" s="7"/>
      <c r="U13" s="7"/>
      <c r="V13" s="7"/>
      <c r="W13" s="7"/>
      <c r="X13" s="7"/>
      <c r="Y13" s="7"/>
      <c r="Z13" s="7"/>
      <c r="AA13" s="7"/>
      <c r="AB13" s="7"/>
    </row>
    <row r="14" spans="1:28" s="8" customFormat="1" ht="21" customHeight="1" x14ac:dyDescent="0.35">
      <c r="A14" s="7"/>
      <c r="B14" s="39"/>
      <c r="C14" s="11"/>
      <c r="D14" s="11"/>
      <c r="E14" s="11"/>
      <c r="F14" s="16"/>
      <c r="G14" s="11"/>
      <c r="H14" s="9"/>
      <c r="I14" s="25">
        <v>0.15</v>
      </c>
      <c r="J14" s="38" t="s">
        <v>1</v>
      </c>
      <c r="K14" s="15">
        <f>ROUND($G$15*I14,0)</f>
        <v>1474</v>
      </c>
      <c r="L14" s="10"/>
      <c r="M14" s="9"/>
      <c r="N14" s="9"/>
      <c r="O14" s="9"/>
      <c r="P14" s="7"/>
      <c r="Q14" s="7"/>
      <c r="R14" s="7"/>
      <c r="S14" s="7"/>
      <c r="T14" s="7"/>
      <c r="U14" s="7"/>
      <c r="V14" s="7"/>
      <c r="W14" s="7"/>
      <c r="X14" s="7"/>
      <c r="Y14" s="7"/>
      <c r="Z14" s="7"/>
      <c r="AA14" s="7"/>
      <c r="AB14" s="7"/>
    </row>
    <row r="15" spans="1:28" s="8" customFormat="1" ht="21" customHeight="1" x14ac:dyDescent="0.35">
      <c r="A15" s="7"/>
      <c r="B15" s="39"/>
      <c r="C15" s="11"/>
      <c r="D15" s="7"/>
      <c r="E15" s="26">
        <v>0.6</v>
      </c>
      <c r="F15" s="38" t="s">
        <v>6</v>
      </c>
      <c r="G15" s="14">
        <f>ROUND($C$17*E15,0)</f>
        <v>9828</v>
      </c>
      <c r="H15" s="7"/>
      <c r="I15" s="12">
        <f>1-I14</f>
        <v>0.85</v>
      </c>
      <c r="J15" s="38" t="s">
        <v>2</v>
      </c>
      <c r="K15" s="15">
        <f>ROUND($G$15*I15,0)</f>
        <v>8354</v>
      </c>
      <c r="L15" s="7"/>
      <c r="M15" s="7"/>
      <c r="N15" s="7"/>
      <c r="O15" s="7"/>
      <c r="P15" s="7"/>
      <c r="Q15" s="7"/>
      <c r="R15" s="7"/>
      <c r="S15" s="7"/>
      <c r="T15" s="7"/>
      <c r="U15" s="7"/>
      <c r="V15" s="7"/>
      <c r="W15" s="7"/>
      <c r="X15" s="7"/>
      <c r="Y15" s="7"/>
      <c r="Z15" s="7"/>
      <c r="AA15" s="7"/>
      <c r="AB15" s="7"/>
    </row>
    <row r="16" spans="1:28" s="8" customFormat="1" ht="21" customHeight="1" x14ac:dyDescent="0.35">
      <c r="A16" s="7"/>
      <c r="B16" s="39"/>
      <c r="C16" s="11"/>
      <c r="D16" s="7"/>
      <c r="E16" s="7"/>
      <c r="F16" s="40"/>
      <c r="G16" s="11"/>
      <c r="H16" s="7"/>
      <c r="I16" s="11"/>
      <c r="J16" s="39"/>
      <c r="K16" s="11"/>
      <c r="L16" s="7"/>
      <c r="M16" s="7"/>
      <c r="N16" s="7"/>
      <c r="O16" s="7"/>
      <c r="P16" s="7"/>
      <c r="Q16" s="7"/>
      <c r="R16" s="7"/>
      <c r="S16" s="7"/>
      <c r="T16" s="7"/>
      <c r="U16" s="7"/>
      <c r="V16" s="7"/>
      <c r="W16" s="7"/>
      <c r="X16" s="7"/>
      <c r="Y16" s="7"/>
      <c r="Z16" s="7"/>
      <c r="AA16" s="7"/>
      <c r="AB16" s="7"/>
    </row>
    <row r="17" spans="1:28" s="8" customFormat="1" ht="21" customHeight="1" x14ac:dyDescent="0.35">
      <c r="A17" s="7"/>
      <c r="B17" s="38" t="s">
        <v>55</v>
      </c>
      <c r="C17" s="6">
        <f>GP_phone_consult_length*G10*C8*C9</f>
        <v>16380</v>
      </c>
      <c r="D17" s="7"/>
      <c r="E17" s="25">
        <v>0.05</v>
      </c>
      <c r="F17" s="38" t="s">
        <v>7</v>
      </c>
      <c r="G17" s="14">
        <f>ROUND($C$17*E17,0)</f>
        <v>819</v>
      </c>
      <c r="H17" s="7"/>
      <c r="I17" s="11"/>
      <c r="J17" s="39"/>
      <c r="K17" s="11"/>
      <c r="L17" s="7"/>
      <c r="M17" s="7"/>
      <c r="N17" s="7"/>
      <c r="O17" s="7"/>
      <c r="P17" s="7"/>
      <c r="Q17" s="7"/>
      <c r="R17" s="7"/>
      <c r="S17" s="7"/>
      <c r="T17" s="7"/>
      <c r="U17" s="7"/>
      <c r="V17" s="7"/>
      <c r="W17" s="7"/>
      <c r="X17" s="7"/>
      <c r="Y17" s="7"/>
      <c r="Z17" s="7"/>
      <c r="AA17" s="7"/>
      <c r="AB17" s="7"/>
    </row>
    <row r="18" spans="1:28" s="8" customFormat="1" ht="21" customHeight="1" x14ac:dyDescent="0.35">
      <c r="A18" s="7"/>
      <c r="B18" s="39"/>
      <c r="C18" s="11"/>
      <c r="D18" s="7"/>
      <c r="E18" s="7"/>
      <c r="F18" s="40"/>
      <c r="G18" s="11"/>
      <c r="H18" s="7"/>
      <c r="I18" s="11"/>
      <c r="J18" s="39"/>
      <c r="K18" s="11"/>
      <c r="L18" s="7"/>
      <c r="M18" s="7"/>
      <c r="N18" s="7"/>
      <c r="O18" s="7"/>
      <c r="P18" s="7"/>
      <c r="Q18" s="7"/>
      <c r="R18" s="7"/>
      <c r="S18" s="7"/>
      <c r="T18" s="7"/>
      <c r="U18" s="7"/>
      <c r="V18" s="7"/>
      <c r="W18" s="7"/>
      <c r="X18" s="7"/>
      <c r="Y18" s="7"/>
      <c r="Z18" s="7"/>
      <c r="AA18" s="7"/>
      <c r="AB18" s="7"/>
    </row>
    <row r="19" spans="1:28" s="8" customFormat="1" ht="21" customHeight="1" x14ac:dyDescent="0.35">
      <c r="A19" s="7"/>
      <c r="B19" s="7"/>
      <c r="C19" s="7"/>
      <c r="D19" s="7"/>
      <c r="E19" s="12">
        <f>1-E15-E17</f>
        <v>0.35000000000000003</v>
      </c>
      <c r="F19" s="38" t="s">
        <v>288</v>
      </c>
      <c r="G19" s="14">
        <f>ROUND($C$17*E19,0)</f>
        <v>5733</v>
      </c>
      <c r="H19" s="7"/>
      <c r="I19" s="26">
        <v>0.05</v>
      </c>
      <c r="J19" s="38" t="s">
        <v>8</v>
      </c>
      <c r="K19" s="15">
        <f>$G$19*I19</f>
        <v>286.65000000000003</v>
      </c>
      <c r="L19" s="7"/>
      <c r="M19" s="7"/>
      <c r="N19" s="7"/>
      <c r="O19" s="7"/>
      <c r="P19" s="7"/>
      <c r="Q19" s="7"/>
      <c r="R19" s="7"/>
      <c r="S19" s="7"/>
      <c r="T19" s="7"/>
      <c r="U19" s="7"/>
      <c r="V19" s="7"/>
      <c r="W19" s="7"/>
      <c r="X19" s="7"/>
      <c r="Y19" s="7"/>
      <c r="Z19" s="7"/>
      <c r="AA19" s="7"/>
      <c r="AB19" s="7"/>
    </row>
    <row r="20" spans="1:28" s="8" customFormat="1" ht="21" customHeight="1" x14ac:dyDescent="0.35">
      <c r="A20" s="7"/>
      <c r="B20" s="7"/>
      <c r="C20" s="7"/>
      <c r="D20" s="7"/>
      <c r="E20" s="11"/>
      <c r="F20" s="16"/>
      <c r="G20" s="11"/>
      <c r="H20" s="7"/>
      <c r="I20" s="26">
        <v>0.45</v>
      </c>
      <c r="J20" s="38" t="s">
        <v>9</v>
      </c>
      <c r="K20" s="15">
        <f>$G$19*I20</f>
        <v>2579.85</v>
      </c>
      <c r="L20" s="7"/>
      <c r="M20" s="7"/>
      <c r="N20" s="7"/>
      <c r="O20" s="7"/>
      <c r="P20" s="7"/>
      <c r="Q20" s="7"/>
      <c r="R20" s="7"/>
      <c r="S20" s="7"/>
      <c r="T20" s="7"/>
      <c r="U20" s="7"/>
      <c r="V20" s="7"/>
      <c r="W20" s="7"/>
      <c r="X20" s="7"/>
      <c r="Y20" s="7"/>
      <c r="Z20" s="7"/>
      <c r="AA20" s="7"/>
      <c r="AB20" s="7"/>
    </row>
    <row r="21" spans="1:28" s="8" customFormat="1" ht="21" customHeight="1" x14ac:dyDescent="0.35">
      <c r="A21" s="7"/>
      <c r="B21" s="7"/>
      <c r="C21" s="7"/>
      <c r="D21" s="7"/>
      <c r="E21" s="11"/>
      <c r="F21" s="16"/>
      <c r="G21" s="11"/>
      <c r="H21" s="7"/>
      <c r="I21" s="12">
        <f>1-I19-I20</f>
        <v>0.49999999999999994</v>
      </c>
      <c r="J21" s="38" t="s">
        <v>4</v>
      </c>
      <c r="K21" s="15">
        <f>$G$19*I21</f>
        <v>2866.4999999999995</v>
      </c>
      <c r="L21" s="7"/>
      <c r="M21" s="7"/>
      <c r="N21" s="7"/>
      <c r="O21" s="7"/>
      <c r="P21" s="7"/>
      <c r="Q21" s="7"/>
      <c r="R21" s="7"/>
      <c r="S21" s="7"/>
      <c r="T21" s="7"/>
      <c r="U21" s="7"/>
      <c r="V21" s="7"/>
      <c r="W21" s="7"/>
      <c r="X21" s="7"/>
      <c r="Y21" s="7"/>
      <c r="Z21" s="7"/>
      <c r="AA21" s="7"/>
      <c r="AB21" s="7"/>
    </row>
    <row r="22" spans="1:28" s="8" customFormat="1" ht="21" customHeight="1" x14ac:dyDescent="0.35">
      <c r="A22" s="7"/>
      <c r="B22" s="7"/>
      <c r="C22" s="7"/>
      <c r="D22" s="7"/>
      <c r="E22" s="11"/>
      <c r="F22" s="16"/>
      <c r="G22" s="11"/>
      <c r="H22" s="7"/>
      <c r="I22" s="7"/>
      <c r="J22" s="7"/>
      <c r="K22" s="7"/>
      <c r="L22" s="7"/>
      <c r="M22" s="7"/>
      <c r="N22" s="7"/>
      <c r="O22" s="7"/>
      <c r="P22" s="7"/>
      <c r="Q22" s="7"/>
      <c r="R22" s="7"/>
      <c r="S22" s="7"/>
      <c r="T22" s="7"/>
      <c r="U22" s="7"/>
      <c r="V22" s="7"/>
      <c r="W22" s="7"/>
      <c r="X22" s="7"/>
      <c r="Y22" s="7"/>
      <c r="Z22" s="7"/>
      <c r="AA22" s="7"/>
      <c r="AB22" s="7"/>
    </row>
    <row r="23" spans="1:28" s="8" customFormat="1" ht="21" customHeight="1" x14ac:dyDescent="0.35">
      <c r="A23" s="7"/>
      <c r="B23" s="213" t="s">
        <v>122</v>
      </c>
      <c r="C23" s="213"/>
      <c r="D23" s="213"/>
      <c r="E23" s="213"/>
      <c r="F23" s="213"/>
      <c r="G23" s="213"/>
      <c r="H23" s="213"/>
      <c r="I23" s="213"/>
      <c r="J23" s="213"/>
      <c r="K23" s="213"/>
      <c r="L23" s="7"/>
      <c r="M23" s="7"/>
      <c r="N23" s="7"/>
      <c r="O23" s="7"/>
      <c r="P23" s="7"/>
      <c r="Q23" s="7"/>
      <c r="R23" s="7"/>
      <c r="S23" s="7"/>
      <c r="T23" s="7"/>
      <c r="U23" s="7"/>
      <c r="V23" s="7"/>
      <c r="W23" s="7"/>
      <c r="X23" s="7"/>
      <c r="Y23" s="7"/>
      <c r="Z23" s="7"/>
      <c r="AA23" s="7"/>
      <c r="AB23" s="7"/>
    </row>
    <row r="24" spans="1:28" s="8" customFormat="1" ht="21" customHeight="1" x14ac:dyDescent="0.35">
      <c r="A24" s="7"/>
      <c r="B24" s="7"/>
      <c r="C24" s="7"/>
      <c r="D24" s="7"/>
      <c r="E24" s="11"/>
      <c r="F24" s="16"/>
      <c r="G24" s="11"/>
      <c r="H24" s="7"/>
      <c r="I24" s="7"/>
      <c r="J24" s="7"/>
      <c r="K24" s="7"/>
      <c r="L24" s="7"/>
      <c r="M24" s="7"/>
      <c r="N24" s="7"/>
      <c r="O24" s="7"/>
      <c r="P24" s="7"/>
      <c r="Q24" s="7"/>
      <c r="R24" s="7"/>
      <c r="S24" s="7"/>
      <c r="T24" s="7"/>
      <c r="U24" s="7"/>
      <c r="V24" s="7"/>
      <c r="W24" s="7"/>
      <c r="X24" s="7"/>
      <c r="Y24" s="7"/>
      <c r="Z24" s="7"/>
      <c r="AA24" s="7"/>
      <c r="AB24" s="7"/>
    </row>
    <row r="25" spans="1:28" s="8" customFormat="1" ht="21" customHeight="1" x14ac:dyDescent="0.35">
      <c r="A25" s="7"/>
      <c r="B25" s="41" t="s">
        <v>66</v>
      </c>
      <c r="C25" s="1"/>
      <c r="D25" s="7"/>
      <c r="E25" s="11"/>
      <c r="F25" s="41" t="s">
        <v>67</v>
      </c>
      <c r="G25" s="5"/>
      <c r="H25" s="7"/>
      <c r="I25" s="7"/>
      <c r="J25" s="214" t="s">
        <v>227</v>
      </c>
      <c r="K25" s="215"/>
      <c r="L25" s="7"/>
      <c r="M25" s="7"/>
      <c r="N25" s="7"/>
      <c r="O25" s="7"/>
      <c r="P25" s="7"/>
      <c r="Q25" s="7"/>
      <c r="R25" s="7"/>
      <c r="S25" s="7"/>
      <c r="T25" s="7"/>
      <c r="U25" s="7"/>
      <c r="V25" s="7"/>
      <c r="W25" s="7"/>
      <c r="X25" s="7"/>
      <c r="Y25" s="7"/>
      <c r="Z25" s="7"/>
      <c r="AA25" s="7"/>
      <c r="AB25" s="7"/>
    </row>
    <row r="26" spans="1:28" s="8" customFormat="1" ht="21" customHeight="1" x14ac:dyDescent="0.35">
      <c r="A26" s="7"/>
      <c r="B26" s="43" t="s">
        <v>38</v>
      </c>
      <c r="C26" s="31" t="s">
        <v>39</v>
      </c>
      <c r="D26" s="7"/>
      <c r="E26" s="11"/>
      <c r="F26" s="43" t="s">
        <v>38</v>
      </c>
      <c r="G26" s="31" t="s">
        <v>39</v>
      </c>
      <c r="H26" s="7"/>
      <c r="I26" s="7"/>
      <c r="J26" s="216"/>
      <c r="K26" s="217"/>
      <c r="L26" s="7"/>
      <c r="M26" s="7"/>
      <c r="N26" s="7"/>
      <c r="O26" s="7"/>
      <c r="P26" s="7"/>
      <c r="Q26" s="7"/>
      <c r="R26" s="7"/>
      <c r="S26" s="7"/>
      <c r="T26" s="7"/>
      <c r="U26" s="7"/>
      <c r="V26" s="7"/>
      <c r="W26" s="7"/>
      <c r="X26" s="7"/>
      <c r="Y26" s="7"/>
      <c r="Z26" s="7"/>
      <c r="AA26" s="7"/>
      <c r="AB26" s="7"/>
    </row>
    <row r="27" spans="1:28" s="8" customFormat="1" ht="21" customHeight="1" x14ac:dyDescent="0.35">
      <c r="A27" s="7"/>
      <c r="B27" s="44"/>
      <c r="C27" s="27"/>
      <c r="D27" s="7"/>
      <c r="E27" s="11"/>
      <c r="F27" s="44"/>
      <c r="G27" s="27"/>
      <c r="H27" s="7"/>
      <c r="I27" s="7"/>
      <c r="J27" s="7"/>
      <c r="K27" s="7"/>
      <c r="L27" s="7"/>
      <c r="M27" s="7"/>
      <c r="N27" s="7"/>
      <c r="O27" s="7"/>
      <c r="P27" s="7"/>
      <c r="Q27" s="7"/>
      <c r="R27" s="7"/>
      <c r="S27" s="7"/>
      <c r="T27" s="7"/>
      <c r="U27" s="7"/>
      <c r="V27" s="7"/>
      <c r="W27" s="7"/>
      <c r="X27" s="7"/>
      <c r="Y27" s="7"/>
      <c r="Z27" s="7"/>
      <c r="AA27" s="7"/>
      <c r="AB27" s="7"/>
    </row>
    <row r="28" spans="1:28" s="8" customFormat="1" ht="21" customHeight="1" x14ac:dyDescent="0.35">
      <c r="A28" s="7"/>
      <c r="B28" s="44"/>
      <c r="C28" s="27"/>
      <c r="D28" s="7"/>
      <c r="E28" s="11"/>
      <c r="F28" s="44"/>
      <c r="G28" s="27"/>
      <c r="H28" s="7"/>
      <c r="I28" s="7"/>
      <c r="J28" s="7"/>
      <c r="K28" s="7"/>
      <c r="L28" s="7"/>
      <c r="M28" s="7"/>
      <c r="N28" s="7"/>
      <c r="O28" s="7"/>
      <c r="P28" s="7"/>
      <c r="Q28" s="7"/>
      <c r="R28" s="7"/>
      <c r="S28" s="7"/>
      <c r="T28" s="7"/>
      <c r="U28" s="7"/>
      <c r="V28" s="7"/>
      <c r="W28" s="7"/>
      <c r="X28" s="7"/>
      <c r="Y28" s="7"/>
      <c r="Z28" s="7"/>
      <c r="AA28" s="7"/>
      <c r="AB28" s="7"/>
    </row>
    <row r="29" spans="1:28" s="8" customFormat="1" ht="21" customHeight="1" x14ac:dyDescent="0.35">
      <c r="A29" s="7"/>
      <c r="B29" s="44"/>
      <c r="C29" s="27"/>
      <c r="D29" s="7"/>
      <c r="E29" s="11"/>
      <c r="F29" s="44"/>
      <c r="G29" s="27"/>
      <c r="H29" s="7"/>
      <c r="I29" s="7"/>
      <c r="J29" s="7"/>
      <c r="K29" s="7"/>
      <c r="L29" s="7"/>
      <c r="M29" s="7"/>
      <c r="N29" s="7"/>
      <c r="O29" s="7"/>
      <c r="P29" s="7"/>
      <c r="Q29" s="7"/>
      <c r="R29" s="7"/>
      <c r="S29" s="7"/>
      <c r="T29" s="7"/>
      <c r="U29" s="7"/>
      <c r="V29" s="7"/>
      <c r="W29" s="7"/>
      <c r="X29" s="7"/>
      <c r="Y29" s="7"/>
      <c r="Z29" s="7"/>
      <c r="AA29" s="7"/>
      <c r="AB29" s="7"/>
    </row>
    <row r="30" spans="1:28" s="8" customFormat="1" ht="21" customHeight="1" x14ac:dyDescent="0.35">
      <c r="A30" s="7"/>
      <c r="B30" s="45"/>
      <c r="C30" s="1"/>
      <c r="D30" s="7"/>
      <c r="E30" s="11"/>
      <c r="F30" s="45"/>
      <c r="G30" s="1"/>
      <c r="H30" s="7"/>
      <c r="I30" s="7"/>
      <c r="J30" s="7"/>
      <c r="K30" s="7"/>
      <c r="L30" s="7"/>
      <c r="M30" s="7"/>
      <c r="N30" s="7"/>
      <c r="O30" s="7"/>
      <c r="P30" s="7"/>
      <c r="Q30" s="7"/>
      <c r="R30" s="7"/>
      <c r="S30" s="7"/>
      <c r="T30" s="7"/>
      <c r="U30" s="7"/>
      <c r="V30" s="7"/>
      <c r="W30" s="7"/>
      <c r="X30" s="7"/>
      <c r="Y30" s="7"/>
      <c r="Z30" s="7"/>
      <c r="AA30" s="7"/>
      <c r="AB30" s="7"/>
    </row>
    <row r="31" spans="1:28" s="8" customFormat="1" ht="21" customHeight="1" x14ac:dyDescent="0.35">
      <c r="A31" s="7"/>
      <c r="B31" s="38" t="s">
        <v>207</v>
      </c>
      <c r="C31" s="19">
        <f>SUM(C27:C30)</f>
        <v>0</v>
      </c>
      <c r="D31" s="7"/>
      <c r="E31" s="11"/>
      <c r="F31" s="38" t="s">
        <v>36</v>
      </c>
      <c r="G31" s="19">
        <f>SUM(G27:G30)</f>
        <v>0</v>
      </c>
      <c r="H31" s="7"/>
      <c r="I31" s="7"/>
      <c r="J31" s="7"/>
      <c r="K31" s="7"/>
      <c r="L31" s="7"/>
      <c r="M31" s="7"/>
      <c r="N31" s="7"/>
      <c r="O31" s="7"/>
      <c r="P31" s="7"/>
      <c r="Q31" s="7"/>
      <c r="R31" s="7"/>
      <c r="S31" s="7"/>
      <c r="T31" s="7"/>
      <c r="U31" s="7"/>
      <c r="V31" s="7"/>
      <c r="W31" s="7"/>
      <c r="X31" s="7"/>
      <c r="Y31" s="7"/>
      <c r="Z31" s="7"/>
      <c r="AA31" s="7"/>
      <c r="AB31" s="7"/>
    </row>
    <row r="32" spans="1:28" s="8" customFormat="1" ht="21" customHeight="1" x14ac:dyDescent="0.35">
      <c r="A32" s="7"/>
      <c r="B32" s="7"/>
      <c r="C32" s="7"/>
      <c r="D32" s="7"/>
      <c r="E32" s="11"/>
      <c r="F32" s="16"/>
      <c r="G32" s="11"/>
      <c r="H32" s="7"/>
      <c r="I32" s="7"/>
      <c r="J32" s="7"/>
      <c r="K32" s="7"/>
      <c r="L32" s="7"/>
      <c r="M32" s="7"/>
      <c r="N32" s="7"/>
      <c r="O32" s="7"/>
      <c r="P32" s="7"/>
      <c r="Q32" s="7"/>
      <c r="R32" s="7"/>
      <c r="S32" s="7"/>
      <c r="T32" s="7"/>
      <c r="U32" s="7"/>
      <c r="V32" s="7"/>
      <c r="W32" s="7"/>
      <c r="X32" s="7"/>
      <c r="Y32" s="7"/>
      <c r="Z32" s="7"/>
      <c r="AA32" s="7"/>
      <c r="AB32" s="7"/>
    </row>
    <row r="33" spans="1:28" s="8" customFormat="1" ht="21" customHeight="1" x14ac:dyDescent="0.35">
      <c r="A33" s="7"/>
      <c r="B33" s="213" t="s">
        <v>50</v>
      </c>
      <c r="C33" s="213"/>
      <c r="D33" s="213"/>
      <c r="E33" s="213"/>
      <c r="F33" s="213"/>
      <c r="G33" s="213"/>
      <c r="H33" s="213"/>
      <c r="I33" s="213"/>
      <c r="J33" s="213"/>
      <c r="K33" s="213"/>
      <c r="L33" s="7"/>
      <c r="M33" s="7"/>
      <c r="N33" s="7"/>
      <c r="O33" s="7"/>
      <c r="P33" s="7"/>
      <c r="Q33" s="7"/>
      <c r="R33" s="7"/>
      <c r="S33" s="7"/>
      <c r="T33" s="7"/>
      <c r="U33" s="7"/>
      <c r="V33" s="7"/>
      <c r="W33" s="7"/>
      <c r="X33" s="7"/>
      <c r="Y33" s="7"/>
      <c r="Z33" s="7"/>
      <c r="AA33" s="7"/>
      <c r="AB33" s="7"/>
    </row>
    <row r="34" spans="1:28" s="8" customFormat="1" ht="21" customHeight="1" x14ac:dyDescent="0.35">
      <c r="A34" s="7"/>
      <c r="B34" s="39"/>
      <c r="C34" s="11"/>
      <c r="D34" s="7"/>
      <c r="E34" s="7"/>
      <c r="F34" s="16"/>
      <c r="G34" s="11"/>
      <c r="H34" s="7"/>
      <c r="I34" s="11"/>
      <c r="J34" s="7"/>
      <c r="K34" s="11"/>
      <c r="L34" s="7"/>
      <c r="M34" s="7"/>
      <c r="N34" s="7"/>
      <c r="O34" s="7"/>
      <c r="P34" s="7"/>
      <c r="Q34" s="7"/>
      <c r="R34" s="7"/>
      <c r="S34" s="7"/>
      <c r="T34" s="7"/>
      <c r="U34" s="7"/>
      <c r="V34" s="7"/>
      <c r="W34" s="7"/>
      <c r="X34" s="7"/>
      <c r="Y34" s="7"/>
      <c r="Z34" s="7"/>
      <c r="AA34" s="7"/>
      <c r="AB34" s="7"/>
    </row>
    <row r="35" spans="1:28" s="2" customFormat="1" ht="21" customHeight="1" x14ac:dyDescent="0.35">
      <c r="A35" s="3"/>
      <c r="B35" s="38" t="s">
        <v>48</v>
      </c>
      <c r="C35" s="19">
        <f>GP_triage_Session*C9*G10/GP_Consult_Length</f>
        <v>5460</v>
      </c>
      <c r="D35" s="3"/>
      <c r="E35" s="11"/>
      <c r="F35" s="11"/>
      <c r="G35" s="11"/>
      <c r="H35" s="11"/>
      <c r="I35" s="11"/>
      <c r="J35" s="11"/>
      <c r="K35" s="11"/>
      <c r="L35" s="11"/>
      <c r="M35" s="11"/>
      <c r="N35" s="7"/>
      <c r="O35" s="3"/>
      <c r="P35" s="3"/>
      <c r="Q35" s="3"/>
      <c r="R35" s="3"/>
      <c r="S35" s="3"/>
      <c r="T35" s="3"/>
      <c r="U35" s="3"/>
      <c r="V35" s="3"/>
      <c r="W35" s="3"/>
      <c r="X35" s="3"/>
      <c r="Y35" s="3"/>
      <c r="Z35" s="3"/>
      <c r="AA35" s="3"/>
      <c r="AB35" s="3"/>
    </row>
    <row r="36" spans="1:28" s="2" customFormat="1" ht="21" customHeight="1" x14ac:dyDescent="0.35">
      <c r="A36" s="3"/>
      <c r="B36" s="42"/>
      <c r="C36" s="3"/>
      <c r="D36" s="3"/>
      <c r="E36" s="11"/>
      <c r="F36" s="11"/>
      <c r="G36" s="11"/>
      <c r="H36" s="11"/>
      <c r="I36" s="11"/>
      <c r="J36" s="11"/>
      <c r="K36" s="11"/>
      <c r="L36" s="11"/>
      <c r="M36" s="11"/>
      <c r="N36" s="7"/>
      <c r="O36" s="3"/>
      <c r="P36" s="3"/>
      <c r="Q36" s="3"/>
      <c r="R36" s="3"/>
      <c r="S36" s="3"/>
      <c r="T36" s="3"/>
      <c r="U36" s="3"/>
      <c r="V36" s="3"/>
      <c r="W36" s="3"/>
      <c r="X36" s="3"/>
      <c r="Y36" s="3"/>
      <c r="Z36" s="3"/>
      <c r="AA36" s="3"/>
      <c r="AB36" s="3"/>
    </row>
    <row r="37" spans="1:28" s="2" customFormat="1" ht="21" customHeight="1" x14ac:dyDescent="0.35">
      <c r="A37" s="3"/>
      <c r="B37" s="38" t="s">
        <v>69</v>
      </c>
      <c r="C37" s="19">
        <f>-C35*Average_GP_Revenue</f>
        <v>-65520</v>
      </c>
      <c r="D37" s="3"/>
      <c r="E37" s="11"/>
      <c r="F37" s="11"/>
      <c r="G37" s="11"/>
      <c r="H37" s="11"/>
      <c r="I37" s="11"/>
      <c r="J37" s="11"/>
      <c r="K37" s="11"/>
      <c r="L37" s="11"/>
      <c r="M37" s="11"/>
      <c r="N37" s="7"/>
      <c r="O37" s="3"/>
      <c r="P37" s="3"/>
      <c r="Q37" s="3"/>
      <c r="R37" s="3"/>
      <c r="S37" s="3"/>
      <c r="T37" s="3"/>
      <c r="U37" s="3"/>
      <c r="V37" s="3"/>
      <c r="W37" s="3"/>
      <c r="X37" s="3"/>
      <c r="Y37" s="3"/>
      <c r="Z37" s="3"/>
      <c r="AA37" s="3"/>
      <c r="AB37" s="3"/>
    </row>
    <row r="38" spans="1:28" s="2" customFormat="1" ht="21" customHeight="1" x14ac:dyDescent="0.35">
      <c r="A38" s="3"/>
      <c r="B38" s="38" t="s">
        <v>54</v>
      </c>
      <c r="C38" s="19">
        <f>K3*K19+K4*K20+K5*K21</f>
        <v>37090.017391304355</v>
      </c>
      <c r="D38" s="3"/>
      <c r="E38" s="11"/>
      <c r="F38" s="11"/>
      <c r="G38" s="11"/>
      <c r="H38" s="11"/>
      <c r="I38" s="11"/>
      <c r="J38" s="11"/>
      <c r="K38" s="11"/>
      <c r="L38" s="11"/>
      <c r="M38" s="11"/>
      <c r="N38" s="7"/>
      <c r="O38" s="3"/>
      <c r="P38" s="3"/>
      <c r="Q38" s="3"/>
      <c r="R38" s="3"/>
      <c r="S38" s="3"/>
      <c r="T38" s="3"/>
      <c r="U38" s="3"/>
      <c r="V38" s="3"/>
      <c r="W38" s="3"/>
      <c r="X38" s="3"/>
      <c r="Y38" s="3"/>
      <c r="Z38" s="3"/>
      <c r="AA38" s="3"/>
      <c r="AB38" s="3"/>
    </row>
    <row r="39" spans="1:28" s="2" customFormat="1" ht="21" customHeight="1" x14ac:dyDescent="0.35">
      <c r="A39" s="3"/>
      <c r="B39" s="38" t="s">
        <v>56</v>
      </c>
      <c r="C39" s="19">
        <f>SUM(C37:C38)</f>
        <v>-28429.982608695645</v>
      </c>
      <c r="D39" s="3"/>
      <c r="E39" s="11"/>
      <c r="F39" s="11"/>
      <c r="G39" s="11"/>
      <c r="H39" s="11"/>
      <c r="I39" s="11"/>
      <c r="J39" s="11"/>
      <c r="K39" s="11"/>
      <c r="L39" s="11"/>
      <c r="M39" s="11"/>
      <c r="N39" s="7"/>
      <c r="O39" s="3"/>
      <c r="P39" s="3"/>
      <c r="Q39" s="3"/>
      <c r="R39" s="3"/>
      <c r="S39" s="3"/>
      <c r="T39" s="3"/>
      <c r="U39" s="3"/>
      <c r="V39" s="3"/>
      <c r="W39" s="3"/>
      <c r="X39" s="3"/>
      <c r="Y39" s="3"/>
      <c r="Z39" s="3"/>
      <c r="AA39" s="3"/>
      <c r="AB39" s="3"/>
    </row>
    <row r="40" spans="1:28" s="2" customFormat="1" ht="21" customHeight="1" x14ac:dyDescent="0.35">
      <c r="A40" s="3"/>
      <c r="B40" s="39"/>
      <c r="C40" s="21"/>
      <c r="D40" s="3"/>
      <c r="E40" s="3"/>
      <c r="F40" s="3"/>
      <c r="G40" s="3"/>
      <c r="H40" s="3"/>
      <c r="I40" s="3"/>
      <c r="J40" s="3"/>
      <c r="K40" s="3"/>
      <c r="L40" s="3"/>
      <c r="M40" s="3"/>
      <c r="N40" s="3"/>
      <c r="O40" s="3"/>
      <c r="P40" s="3"/>
      <c r="Q40" s="3"/>
      <c r="R40" s="3"/>
      <c r="S40" s="3"/>
      <c r="T40" s="3"/>
      <c r="U40" s="3"/>
      <c r="V40" s="3"/>
      <c r="W40" s="3"/>
      <c r="X40" s="3"/>
      <c r="Y40" s="3"/>
      <c r="Z40" s="3"/>
      <c r="AA40" s="3"/>
      <c r="AB40" s="3"/>
    </row>
    <row r="41" spans="1:28" s="2" customFormat="1" ht="21" customHeight="1" x14ac:dyDescent="0.35">
      <c r="A41" s="3"/>
      <c r="B41" s="213" t="s">
        <v>102</v>
      </c>
      <c r="C41" s="213"/>
      <c r="D41" s="213"/>
      <c r="E41" s="213"/>
      <c r="F41" s="213"/>
      <c r="G41" s="213"/>
      <c r="H41" s="213"/>
      <c r="I41" s="213"/>
      <c r="J41" s="213"/>
      <c r="K41" s="213"/>
      <c r="L41" s="3"/>
      <c r="M41" s="3"/>
      <c r="N41" s="3"/>
      <c r="O41" s="3"/>
      <c r="P41" s="3"/>
      <c r="Q41" s="3"/>
      <c r="R41" s="3"/>
      <c r="S41" s="3"/>
      <c r="T41" s="3"/>
      <c r="U41" s="3"/>
      <c r="V41" s="3"/>
      <c r="W41" s="3"/>
      <c r="X41" s="3"/>
      <c r="Y41" s="3"/>
      <c r="Z41" s="3"/>
      <c r="AA41" s="3"/>
      <c r="AB41" s="3"/>
    </row>
    <row r="42" spans="1:28" s="2" customFormat="1" ht="21" customHeight="1" x14ac:dyDescent="0.35">
      <c r="A42" s="3"/>
      <c r="B42" s="39"/>
      <c r="C42" s="21"/>
      <c r="D42" s="3"/>
      <c r="E42" s="3"/>
      <c r="F42" s="3"/>
      <c r="G42" s="3"/>
      <c r="H42" s="3"/>
      <c r="I42" s="3"/>
      <c r="J42" s="3"/>
      <c r="K42" s="3"/>
      <c r="L42" s="3"/>
      <c r="M42" s="3"/>
      <c r="N42" s="3"/>
      <c r="O42" s="3"/>
      <c r="P42" s="3"/>
      <c r="Q42" s="3"/>
      <c r="R42" s="3"/>
      <c r="S42" s="3"/>
      <c r="T42" s="3"/>
      <c r="U42" s="3"/>
      <c r="V42" s="3"/>
      <c r="W42" s="3"/>
      <c r="X42" s="3"/>
      <c r="Y42" s="3"/>
      <c r="Z42" s="3"/>
      <c r="AA42" s="3"/>
      <c r="AB42" s="3"/>
    </row>
    <row r="43" spans="1:28" s="2" customFormat="1" ht="21" customHeight="1" x14ac:dyDescent="0.35">
      <c r="A43" s="3"/>
      <c r="B43" s="38" t="s">
        <v>114</v>
      </c>
      <c r="C43" s="11"/>
      <c r="D43" s="3"/>
      <c r="E43" s="3"/>
      <c r="F43" s="38" t="s">
        <v>115</v>
      </c>
      <c r="G43" s="7"/>
      <c r="H43" s="13"/>
      <c r="I43" s="3"/>
      <c r="J43" s="38" t="s">
        <v>127</v>
      </c>
      <c r="K43" s="7"/>
      <c r="L43" s="3"/>
      <c r="M43" s="3"/>
      <c r="N43" s="3"/>
      <c r="O43" s="3"/>
      <c r="P43" s="3"/>
      <c r="Q43" s="3"/>
      <c r="R43" s="3"/>
      <c r="S43" s="3"/>
      <c r="T43" s="3"/>
      <c r="U43" s="3"/>
      <c r="V43" s="3"/>
      <c r="W43" s="3"/>
      <c r="X43" s="3"/>
      <c r="Y43" s="3"/>
      <c r="Z43" s="3"/>
      <c r="AA43" s="3"/>
      <c r="AB43" s="3"/>
    </row>
    <row r="44" spans="1:28" s="2" customFormat="1" ht="21" customHeight="1" x14ac:dyDescent="0.35">
      <c r="A44" s="3"/>
      <c r="B44" s="16"/>
      <c r="C44" s="11"/>
      <c r="D44" s="3"/>
      <c r="E44" s="3"/>
      <c r="F44" s="7"/>
      <c r="G44" s="7"/>
      <c r="H44" s="3"/>
      <c r="I44" s="3"/>
      <c r="J44" s="7"/>
      <c r="K44" s="7"/>
      <c r="L44" s="3"/>
      <c r="M44" s="3"/>
      <c r="N44" s="3"/>
      <c r="O44" s="3"/>
      <c r="P44" s="3"/>
      <c r="Q44" s="3"/>
      <c r="R44" s="3"/>
      <c r="S44" s="3"/>
      <c r="T44" s="3"/>
      <c r="U44" s="3"/>
      <c r="V44" s="3"/>
      <c r="W44" s="3"/>
      <c r="X44" s="3"/>
      <c r="Y44" s="3"/>
      <c r="Z44" s="3"/>
      <c r="AA44" s="3"/>
      <c r="AB44" s="3"/>
    </row>
    <row r="45" spans="1:28" ht="21" customHeight="1" x14ac:dyDescent="0.35">
      <c r="B45" s="38" t="s">
        <v>112</v>
      </c>
      <c r="C45" s="79">
        <f>-(C17+K14)*GP_Consult_Length</f>
        <v>-267810</v>
      </c>
      <c r="F45" s="38" t="s">
        <v>116</v>
      </c>
      <c r="G45" s="79">
        <f>G17*Nurse_Consult_Length</f>
        <v>12285</v>
      </c>
      <c r="I45" s="3"/>
      <c r="J45" s="38" t="s">
        <v>120</v>
      </c>
      <c r="K45" s="79">
        <f>C17*C10</f>
        <v>0</v>
      </c>
    </row>
    <row r="46" spans="1:28" ht="21" customHeight="1" x14ac:dyDescent="0.35">
      <c r="B46" s="38" t="s">
        <v>113</v>
      </c>
      <c r="C46" s="79">
        <f>G10*C9*GP_triage_Session+K15*GP_Consult_Length</f>
        <v>207210</v>
      </c>
      <c r="F46" s="7"/>
      <c r="G46" s="7"/>
      <c r="I46" s="3"/>
      <c r="J46" s="7"/>
      <c r="K46" s="7"/>
    </row>
    <row r="47" spans="1:28" ht="21" customHeight="1" x14ac:dyDescent="0.35">
      <c r="B47" s="38" t="s">
        <v>68</v>
      </c>
      <c r="C47" s="79">
        <f>-GP_phone_consult_length*G10*C9*(1-C8)*GP_triage_Call_Length</f>
        <v>-16379.999999999996</v>
      </c>
      <c r="F47" s="7"/>
      <c r="G47" s="7"/>
      <c r="H47" s="7"/>
      <c r="I47" s="7"/>
      <c r="J47" s="7"/>
      <c r="K47" s="7"/>
      <c r="L47" s="7"/>
      <c r="M47" s="7"/>
      <c r="N47" s="7"/>
    </row>
    <row r="48" spans="1:28" ht="21" customHeight="1" x14ac:dyDescent="0.35">
      <c r="B48" s="3"/>
      <c r="C48" s="3"/>
      <c r="F48" s="3"/>
      <c r="G48" s="3"/>
      <c r="K48" s="3"/>
    </row>
    <row r="49" spans="2:11" ht="21" customHeight="1" x14ac:dyDescent="0.35">
      <c r="B49" s="38" t="s">
        <v>117</v>
      </c>
      <c r="C49" s="79">
        <f>SUM(C45:C47)</f>
        <v>-76980</v>
      </c>
      <c r="F49" s="38" t="s">
        <v>118</v>
      </c>
      <c r="G49" s="79">
        <f>SUM(G45:G47)</f>
        <v>12285</v>
      </c>
      <c r="J49" s="38" t="s">
        <v>121</v>
      </c>
      <c r="K49" s="79">
        <f>SUM(K45:K47)</f>
        <v>0</v>
      </c>
    </row>
    <row r="50" spans="2:11" ht="21" customHeight="1" x14ac:dyDescent="0.35">
      <c r="F50" s="3"/>
      <c r="G50" s="3"/>
      <c r="K50" s="3"/>
    </row>
    <row r="51" spans="2:11" ht="21" customHeight="1" x14ac:dyDescent="0.35">
      <c r="B51" s="3"/>
      <c r="C51" s="3"/>
      <c r="F51" s="3"/>
      <c r="G51" s="3"/>
      <c r="K51" s="3"/>
    </row>
    <row r="52" spans="2:11" ht="21" customHeight="1" x14ac:dyDescent="0.35">
      <c r="B52" s="3"/>
      <c r="C52" s="3"/>
      <c r="F52" s="3"/>
      <c r="G52" s="3"/>
    </row>
    <row r="53" spans="2:11" ht="21" customHeight="1" x14ac:dyDescent="0.35">
      <c r="B53" s="3"/>
      <c r="C53" s="3"/>
      <c r="F53" s="3"/>
      <c r="G53" s="3"/>
    </row>
    <row r="54" spans="2:11" ht="21" customHeight="1" x14ac:dyDescent="0.35">
      <c r="B54" s="3"/>
      <c r="C54" s="3"/>
      <c r="F54" s="3"/>
      <c r="G54" s="3"/>
    </row>
    <row r="55" spans="2:11" ht="21" customHeight="1" x14ac:dyDescent="0.35">
      <c r="B55" s="3"/>
      <c r="C55" s="3"/>
      <c r="F55" s="3"/>
      <c r="G55" s="3"/>
    </row>
    <row r="56" spans="2:11" ht="21" customHeight="1" x14ac:dyDescent="0.35">
      <c r="B56" s="3"/>
      <c r="C56" s="3"/>
      <c r="F56" s="3"/>
      <c r="G56" s="3"/>
    </row>
    <row r="57" spans="2:11" ht="21" customHeight="1" x14ac:dyDescent="0.35">
      <c r="B57" s="3"/>
      <c r="C57" s="3"/>
      <c r="F57" s="3"/>
      <c r="G57" s="3"/>
    </row>
    <row r="58" spans="2:11" ht="21" customHeight="1" x14ac:dyDescent="0.35">
      <c r="F58" s="3"/>
      <c r="G58" s="3"/>
    </row>
    <row r="59" spans="2:11" ht="21" customHeight="1" x14ac:dyDescent="0.35">
      <c r="F59" s="3"/>
      <c r="G59" s="3"/>
    </row>
  </sheetData>
  <sheetProtection selectLockedCells="1"/>
  <mergeCells count="8">
    <mergeCell ref="B2:C2"/>
    <mergeCell ref="F2:G2"/>
    <mergeCell ref="J2:K2"/>
    <mergeCell ref="B41:K41"/>
    <mergeCell ref="B33:K33"/>
    <mergeCell ref="B23:K23"/>
    <mergeCell ref="B12:K12"/>
    <mergeCell ref="J25:K26"/>
  </mergeCells>
  <pageMargins left="0.7" right="0.7" top="0.75" bottom="0.75" header="0.3" footer="0.3"/>
  <pageSetup paperSize="9" orientation="portrait"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dimension ref="A1:K31"/>
  <sheetViews>
    <sheetView workbookViewId="0">
      <selection activeCell="F11" sqref="F11"/>
    </sheetView>
  </sheetViews>
  <sheetFormatPr defaultColWidth="8.6328125" defaultRowHeight="21" customHeight="1" x14ac:dyDescent="0.35"/>
  <cols>
    <col min="1" max="1" width="8.6328125" style="3"/>
    <col min="2" max="2" width="48.90625" style="42" bestFit="1" customWidth="1"/>
    <col min="3" max="3" width="16.36328125" style="3" customWidth="1"/>
    <col min="4" max="4" width="11" style="3" customWidth="1"/>
    <col min="5" max="5" width="12.08984375" style="3" bestFit="1" customWidth="1"/>
    <col min="6" max="6" width="21.08984375" style="3" customWidth="1"/>
    <col min="7" max="7" width="16.6328125" style="3" bestFit="1" customWidth="1"/>
    <col min="8" max="8" width="16.54296875" style="3" customWidth="1"/>
    <col min="9" max="9" width="8.6328125" style="3"/>
    <col min="10" max="10" width="39" style="3" customWidth="1"/>
    <col min="11" max="11" width="22.90625" style="3" customWidth="1"/>
    <col min="12" max="16384" width="8.6328125" style="3"/>
  </cols>
  <sheetData>
    <row r="1" spans="1:11" ht="21" customHeight="1" x14ac:dyDescent="0.35">
      <c r="A1" s="33"/>
    </row>
    <row r="2" spans="1:11" ht="21" customHeight="1" x14ac:dyDescent="0.35">
      <c r="A2" s="33"/>
      <c r="B2" s="198" t="s">
        <v>5</v>
      </c>
      <c r="C2" s="198"/>
    </row>
    <row r="3" spans="1:11" ht="21" customHeight="1" x14ac:dyDescent="0.35">
      <c r="A3" s="33"/>
      <c r="B3" s="38" t="s">
        <v>243</v>
      </c>
      <c r="C3" s="46">
        <v>43678</v>
      </c>
    </row>
    <row r="4" spans="1:11" ht="21" customHeight="1" x14ac:dyDescent="0.35">
      <c r="A4" s="33"/>
      <c r="B4" s="38" t="s">
        <v>61</v>
      </c>
      <c r="C4" s="23">
        <v>1</v>
      </c>
    </row>
    <row r="5" spans="1:11" ht="21" customHeight="1" x14ac:dyDescent="0.35">
      <c r="A5" s="33"/>
      <c r="B5" s="198" t="s">
        <v>5</v>
      </c>
      <c r="C5" s="198"/>
      <c r="J5" s="41" t="s">
        <v>66</v>
      </c>
      <c r="K5" s="1"/>
    </row>
    <row r="6" spans="1:11" ht="21" customHeight="1" x14ac:dyDescent="0.35">
      <c r="A6" s="33"/>
      <c r="B6" s="38" t="s">
        <v>264</v>
      </c>
      <c r="C6" s="23">
        <v>5</v>
      </c>
      <c r="J6" s="43" t="s">
        <v>38</v>
      </c>
      <c r="K6" s="31" t="s">
        <v>39</v>
      </c>
    </row>
    <row r="7" spans="1:11" ht="21" customHeight="1" x14ac:dyDescent="0.35">
      <c r="A7" s="33"/>
      <c r="B7" s="38" t="s">
        <v>22</v>
      </c>
      <c r="C7" s="23">
        <v>15</v>
      </c>
      <c r="D7" s="218" t="s">
        <v>74</v>
      </c>
      <c r="E7" s="218"/>
      <c r="F7" s="218"/>
      <c r="J7" s="44" t="s">
        <v>315</v>
      </c>
      <c r="K7" s="27">
        <v>1000</v>
      </c>
    </row>
    <row r="8" spans="1:11" ht="21" customHeight="1" x14ac:dyDescent="0.35">
      <c r="A8" s="33"/>
      <c r="B8" s="38" t="s">
        <v>23</v>
      </c>
      <c r="C8" s="23">
        <v>52</v>
      </c>
      <c r="J8" s="44"/>
      <c r="K8" s="27"/>
    </row>
    <row r="9" spans="1:11" ht="21" customHeight="1" x14ac:dyDescent="0.35">
      <c r="A9" s="33"/>
      <c r="B9" s="33"/>
      <c r="C9" s="33"/>
      <c r="D9" s="33"/>
      <c r="E9" s="33"/>
      <c r="F9" s="33"/>
      <c r="J9" s="45"/>
      <c r="K9" s="1"/>
    </row>
    <row r="10" spans="1:11" ht="21" customHeight="1" x14ac:dyDescent="0.35">
      <c r="A10" s="33"/>
      <c r="B10" s="38" t="s">
        <v>73</v>
      </c>
      <c r="C10" s="70" t="s">
        <v>16</v>
      </c>
      <c r="D10" s="70" t="s">
        <v>124</v>
      </c>
      <c r="E10" s="35" t="s">
        <v>283</v>
      </c>
      <c r="F10" s="69" t="s">
        <v>123</v>
      </c>
      <c r="G10" s="35" t="s">
        <v>81</v>
      </c>
      <c r="H10" s="5"/>
      <c r="J10" s="38" t="s">
        <v>207</v>
      </c>
      <c r="K10" s="19">
        <f>SUM(K7:K9)</f>
        <v>1000</v>
      </c>
    </row>
    <row r="11" spans="1:11" ht="21" customHeight="1" x14ac:dyDescent="0.35">
      <c r="A11" s="33"/>
      <c r="B11" s="38" t="s">
        <v>72</v>
      </c>
      <c r="C11" s="24">
        <v>0.8</v>
      </c>
      <c r="D11" s="122"/>
      <c r="E11" s="78">
        <f>IF($D11&gt;0,$D11,GP_FTE*$C11)</f>
        <v>5.68</v>
      </c>
      <c r="F11" s="54">
        <f>$C$6*$C$8*E11</f>
        <v>1476.8</v>
      </c>
      <c r="G11" s="19">
        <f>IFERROR(Average_GP_Revenue/GP_Consult_Length*Huddles!$C$7,0)</f>
        <v>12</v>
      </c>
      <c r="H11" s="19">
        <f>-F11*C7/GP_Consult_Length*G11</f>
        <v>-17721.599999999999</v>
      </c>
      <c r="J11" s="42"/>
    </row>
    <row r="12" spans="1:11" ht="21" customHeight="1" x14ac:dyDescent="0.35">
      <c r="A12" s="33"/>
      <c r="B12" s="38" t="s">
        <v>19</v>
      </c>
      <c r="C12" s="24">
        <v>0.8</v>
      </c>
      <c r="D12" s="122"/>
      <c r="E12" s="78">
        <f>IF($D12&gt;0,$D12,Nurse_FTE*C12)</f>
        <v>4.9600000000000009</v>
      </c>
      <c r="F12" s="54">
        <f>$C$6*$C$8*E12</f>
        <v>1289.6000000000001</v>
      </c>
      <c r="G12" s="19">
        <f>IFERROR(Average_Nurse_Revenue/Nurse_Consult_Length*Huddles!$C$7,0)</f>
        <v>1</v>
      </c>
      <c r="H12" s="19">
        <f>-F12*C7/Nurse_Consult_Length*G12</f>
        <v>-1289.6000000000001</v>
      </c>
      <c r="I12" s="33"/>
      <c r="J12" s="41" t="s">
        <v>67</v>
      </c>
      <c r="K12" s="5"/>
    </row>
    <row r="13" spans="1:11" ht="21" customHeight="1" x14ac:dyDescent="0.35">
      <c r="A13" s="33"/>
      <c r="B13" s="38" t="s">
        <v>24</v>
      </c>
      <c r="C13" s="24">
        <v>0.8</v>
      </c>
      <c r="D13" s="122"/>
      <c r="E13" s="78">
        <f>IF($D13&gt;0,$D13,(HCA!C6+HCA!C5)*Huddles!C13)</f>
        <v>2.4000000000000004</v>
      </c>
      <c r="F13" s="54">
        <f>$C$6*$C$8*E13</f>
        <v>624.00000000000011</v>
      </c>
      <c r="G13" s="19">
        <v>0</v>
      </c>
      <c r="H13" s="19">
        <f>F13*G13</f>
        <v>0</v>
      </c>
      <c r="J13" s="43" t="s">
        <v>38</v>
      </c>
      <c r="K13" s="31" t="s">
        <v>39</v>
      </c>
    </row>
    <row r="14" spans="1:11" ht="21" customHeight="1" x14ac:dyDescent="0.35">
      <c r="A14" s="33"/>
      <c r="B14" s="38" t="s">
        <v>21</v>
      </c>
      <c r="C14" s="24"/>
      <c r="D14" s="122">
        <v>1</v>
      </c>
      <c r="E14" s="78">
        <f>IF($D14&gt;0,$D14,Admin_FTE*C14)</f>
        <v>1</v>
      </c>
      <c r="F14" s="54">
        <f>$C$6*$C$8*E14</f>
        <v>260</v>
      </c>
      <c r="G14" s="19">
        <v>0</v>
      </c>
      <c r="H14" s="19">
        <f>F14*G14</f>
        <v>0</v>
      </c>
      <c r="J14" s="44" t="s">
        <v>316</v>
      </c>
      <c r="K14" s="27">
        <v>50</v>
      </c>
    </row>
    <row r="15" spans="1:11" ht="21" customHeight="1" x14ac:dyDescent="0.35">
      <c r="A15" s="33"/>
      <c r="C15" s="198" t="s">
        <v>125</v>
      </c>
      <c r="D15" s="198"/>
      <c r="H15" s="19">
        <f>SUM(H11:H14)</f>
        <v>-19011.199999999997</v>
      </c>
      <c r="J15" s="44"/>
      <c r="K15" s="27"/>
    </row>
    <row r="16" spans="1:11" ht="21" customHeight="1" x14ac:dyDescent="0.35">
      <c r="A16" s="33"/>
      <c r="J16" s="44"/>
      <c r="K16" s="27"/>
    </row>
    <row r="17" spans="2:11" ht="21" customHeight="1" x14ac:dyDescent="0.35">
      <c r="J17" s="45"/>
      <c r="K17" s="1"/>
    </row>
    <row r="18" spans="2:11" ht="21" customHeight="1" x14ac:dyDescent="0.35">
      <c r="B18" s="3"/>
      <c r="J18" s="38" t="s">
        <v>36</v>
      </c>
      <c r="K18" s="19">
        <f>SUM(K14:K17)</f>
        <v>50</v>
      </c>
    </row>
    <row r="19" spans="2:11" ht="21" customHeight="1" x14ac:dyDescent="0.35">
      <c r="B19" s="3"/>
    </row>
    <row r="20" spans="2:11" ht="21" customHeight="1" x14ac:dyDescent="0.35">
      <c r="B20" s="41" t="s">
        <v>102</v>
      </c>
      <c r="C20" s="21"/>
      <c r="D20" s="21"/>
      <c r="J20" s="214" t="s">
        <v>227</v>
      </c>
      <c r="K20" s="215"/>
    </row>
    <row r="21" spans="2:11" ht="21" customHeight="1" x14ac:dyDescent="0.35">
      <c r="B21" s="39"/>
      <c r="C21" s="21"/>
      <c r="D21" s="21"/>
      <c r="J21" s="216"/>
      <c r="K21" s="217"/>
    </row>
    <row r="22" spans="2:11" ht="21" customHeight="1" x14ac:dyDescent="0.35">
      <c r="B22" s="38" t="s">
        <v>128</v>
      </c>
      <c r="C22" s="11"/>
      <c r="D22" s="11"/>
    </row>
    <row r="23" spans="2:11" ht="21" customHeight="1" x14ac:dyDescent="0.35">
      <c r="B23" s="16"/>
      <c r="C23" s="11"/>
      <c r="D23" s="11"/>
    </row>
    <row r="24" spans="2:11" ht="21" customHeight="1" x14ac:dyDescent="0.35">
      <c r="B24" s="38" t="s">
        <v>12</v>
      </c>
      <c r="C24" s="80">
        <f>F11*C7</f>
        <v>22152</v>
      </c>
      <c r="D24" s="11"/>
    </row>
    <row r="25" spans="2:11" ht="21" customHeight="1" x14ac:dyDescent="0.35">
      <c r="B25" s="38" t="s">
        <v>13</v>
      </c>
      <c r="C25" s="80">
        <f>F12*C7</f>
        <v>19344.000000000004</v>
      </c>
      <c r="D25" s="11"/>
    </row>
    <row r="26" spans="2:11" ht="21" customHeight="1" x14ac:dyDescent="0.35">
      <c r="B26" s="38" t="s">
        <v>14</v>
      </c>
      <c r="C26" s="80">
        <f>F13*C7</f>
        <v>9360.0000000000018</v>
      </c>
      <c r="D26" s="11"/>
    </row>
    <row r="27" spans="2:11" ht="21" customHeight="1" x14ac:dyDescent="0.35">
      <c r="B27" s="38" t="s">
        <v>160</v>
      </c>
      <c r="C27" s="80">
        <f>F14*C7</f>
        <v>3900</v>
      </c>
      <c r="D27" s="11"/>
    </row>
    <row r="28" spans="2:11" ht="21" customHeight="1" x14ac:dyDescent="0.35">
      <c r="B28" s="3"/>
      <c r="D28" s="11"/>
    </row>
    <row r="29" spans="2:11" ht="21" customHeight="1" x14ac:dyDescent="0.35">
      <c r="B29" s="3"/>
    </row>
    <row r="30" spans="2:11" ht="21" customHeight="1" x14ac:dyDescent="0.35">
      <c r="B30" s="3"/>
    </row>
    <row r="31" spans="2:11" ht="21" customHeight="1" x14ac:dyDescent="0.35">
      <c r="B31" s="3"/>
    </row>
  </sheetData>
  <sheetProtection selectLockedCells="1"/>
  <mergeCells count="5">
    <mergeCell ref="B5:C5"/>
    <mergeCell ref="C15:D15"/>
    <mergeCell ref="D7:F7"/>
    <mergeCell ref="J20:K21"/>
    <mergeCell ref="B2:C2"/>
  </mergeCells>
  <pageMargins left="0.7" right="0.7" top="0.75" bottom="0.75" header="0.3" footer="0.3"/>
  <pageSetup orientation="portrait" verticalDpi="300"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dimension ref="A1:I32"/>
  <sheetViews>
    <sheetView zoomScale="95" zoomScaleNormal="95" workbookViewId="0">
      <selection activeCell="E21" sqref="E21:F21"/>
    </sheetView>
  </sheetViews>
  <sheetFormatPr defaultColWidth="8.6328125" defaultRowHeight="21" customHeight="1" x14ac:dyDescent="0.35"/>
  <cols>
    <col min="1" max="1" width="8.6328125" style="3"/>
    <col min="2" max="2" width="40.54296875" style="42" customWidth="1"/>
    <col min="3" max="3" width="10.90625" style="3" customWidth="1"/>
    <col min="4" max="4" width="8.6328125" style="3"/>
    <col min="5" max="5" width="46.453125" style="3" customWidth="1"/>
    <col min="6" max="6" width="10.90625" style="3" customWidth="1"/>
    <col min="7" max="16384" width="8.6328125" style="3"/>
  </cols>
  <sheetData>
    <row r="1" spans="1:9" ht="21" customHeight="1" x14ac:dyDescent="0.35">
      <c r="A1" s="33"/>
    </row>
    <row r="2" spans="1:9" ht="21" customHeight="1" x14ac:dyDescent="0.35">
      <c r="A2" s="33"/>
      <c r="B2" s="198" t="s">
        <v>284</v>
      </c>
      <c r="C2" s="198"/>
    </row>
    <row r="3" spans="1:9" ht="21" customHeight="1" x14ac:dyDescent="0.35">
      <c r="A3" s="33"/>
      <c r="B3" s="38" t="s">
        <v>243</v>
      </c>
      <c r="C3" s="46">
        <v>43862</v>
      </c>
    </row>
    <row r="4" spans="1:9" ht="21" customHeight="1" x14ac:dyDescent="0.35">
      <c r="A4" s="33"/>
      <c r="B4" s="38" t="s">
        <v>61</v>
      </c>
      <c r="C4" s="23">
        <v>6</v>
      </c>
    </row>
    <row r="5" spans="1:9" ht="21" customHeight="1" x14ac:dyDescent="0.35">
      <c r="A5" s="33"/>
      <c r="B5" s="38" t="s">
        <v>261</v>
      </c>
      <c r="C5" s="23">
        <v>1</v>
      </c>
      <c r="E5" s="38" t="s">
        <v>83</v>
      </c>
      <c r="F5" s="19">
        <f>IFERROR(-C6/GP_Consult_Length*Average_GP_Revenue*12*C5,0)*(C17+C10)</f>
        <v>-4089.6</v>
      </c>
    </row>
    <row r="6" spans="1:9" ht="21" customHeight="1" x14ac:dyDescent="0.35">
      <c r="A6" s="33"/>
      <c r="B6" s="38" t="s">
        <v>129</v>
      </c>
      <c r="C6" s="23">
        <v>60</v>
      </c>
      <c r="E6" s="38" t="s">
        <v>84</v>
      </c>
      <c r="F6" s="19">
        <f>IFERROR(-C6/Nurse_Consult_Length*Average_Nurse_Revenue*12*C5,0)*(F17+C11)</f>
        <v>-297.60000000000002</v>
      </c>
    </row>
    <row r="7" spans="1:9" ht="21" customHeight="1" x14ac:dyDescent="0.35">
      <c r="A7" s="33"/>
      <c r="B7" s="38" t="s">
        <v>263</v>
      </c>
      <c r="C7" s="23">
        <v>10</v>
      </c>
      <c r="E7" s="38" t="s">
        <v>85</v>
      </c>
      <c r="F7" s="19">
        <f>SUM(F5:F6)</f>
        <v>-4387.2</v>
      </c>
    </row>
    <row r="8" spans="1:9" ht="21" customHeight="1" x14ac:dyDescent="0.35">
      <c r="A8" s="33"/>
      <c r="B8" s="33"/>
      <c r="C8" s="33"/>
      <c r="D8" s="33"/>
      <c r="E8" s="33"/>
      <c r="F8" s="33"/>
      <c r="G8" s="33"/>
      <c r="H8" s="33"/>
      <c r="I8" s="33"/>
    </row>
    <row r="9" spans="1:9" ht="21" customHeight="1" x14ac:dyDescent="0.35">
      <c r="A9" s="33"/>
      <c r="B9" s="38" t="s">
        <v>262</v>
      </c>
      <c r="C9" s="33"/>
    </row>
    <row r="10" spans="1:9" ht="21" customHeight="1" x14ac:dyDescent="0.35">
      <c r="A10" s="33"/>
      <c r="B10" s="38" t="s">
        <v>12</v>
      </c>
      <c r="C10" s="23"/>
      <c r="E10" s="220" t="s">
        <v>130</v>
      </c>
      <c r="F10" s="220"/>
    </row>
    <row r="11" spans="1:9" ht="21" customHeight="1" x14ac:dyDescent="0.35">
      <c r="A11" s="33"/>
      <c r="B11" s="38" t="s">
        <v>13</v>
      </c>
      <c r="C11" s="23"/>
      <c r="E11" s="220"/>
      <c r="F11" s="220"/>
    </row>
    <row r="12" spans="1:9" ht="21" customHeight="1" x14ac:dyDescent="0.35">
      <c r="A12" s="33"/>
      <c r="B12" s="38" t="s">
        <v>14</v>
      </c>
      <c r="C12" s="23"/>
      <c r="E12" s="220"/>
      <c r="F12" s="220"/>
    </row>
    <row r="13" spans="1:9" ht="21" customHeight="1" x14ac:dyDescent="0.35">
      <c r="A13" s="33"/>
      <c r="B13" s="38" t="s">
        <v>25</v>
      </c>
      <c r="C13" s="23"/>
      <c r="E13" s="220"/>
      <c r="F13" s="220"/>
    </row>
    <row r="14" spans="1:9" ht="21" customHeight="1" x14ac:dyDescent="0.35">
      <c r="A14" s="33"/>
      <c r="E14" s="42"/>
    </row>
    <row r="15" spans="1:9" ht="83.4" customHeight="1" x14ac:dyDescent="0.35">
      <c r="B15" s="219" t="s">
        <v>26</v>
      </c>
      <c r="C15" s="219"/>
      <c r="D15" s="219"/>
      <c r="E15" s="219"/>
      <c r="F15" s="219"/>
    </row>
    <row r="17" spans="2:6" ht="21" customHeight="1" x14ac:dyDescent="0.35">
      <c r="B17" s="38" t="s">
        <v>27</v>
      </c>
      <c r="C17" s="172">
        <f>GP_FTE</f>
        <v>7.1</v>
      </c>
      <c r="E17" s="38" t="s">
        <v>28</v>
      </c>
      <c r="F17" s="172">
        <f>Nurse_FTE</f>
        <v>6.2</v>
      </c>
    </row>
    <row r="19" spans="2:6" ht="21" customHeight="1" x14ac:dyDescent="0.35">
      <c r="B19" s="41" t="s">
        <v>66</v>
      </c>
      <c r="C19" s="1"/>
      <c r="E19" s="41" t="s">
        <v>67</v>
      </c>
      <c r="F19" s="5"/>
    </row>
    <row r="20" spans="2:6" ht="21" customHeight="1" x14ac:dyDescent="0.35">
      <c r="B20" s="43" t="s">
        <v>38</v>
      </c>
      <c r="C20" s="31" t="s">
        <v>39</v>
      </c>
      <c r="E20" s="43" t="s">
        <v>38</v>
      </c>
      <c r="F20" s="31" t="s">
        <v>39</v>
      </c>
    </row>
    <row r="21" spans="2:6" ht="21" customHeight="1" x14ac:dyDescent="0.35">
      <c r="B21" s="44"/>
      <c r="C21" s="27"/>
      <c r="E21" s="44" t="s">
        <v>289</v>
      </c>
      <c r="F21" s="27">
        <f>100*(C6*C5)/60*12</f>
        <v>1200</v>
      </c>
    </row>
    <row r="22" spans="2:6" ht="21" customHeight="1" x14ac:dyDescent="0.35">
      <c r="B22" s="44"/>
      <c r="C22" s="27"/>
      <c r="E22" s="44"/>
      <c r="F22" s="27"/>
    </row>
    <row r="23" spans="2:6" ht="21" customHeight="1" x14ac:dyDescent="0.35">
      <c r="B23" s="44"/>
      <c r="C23" s="27"/>
      <c r="E23" s="44"/>
      <c r="F23" s="27"/>
    </row>
    <row r="24" spans="2:6" ht="21" customHeight="1" x14ac:dyDescent="0.35">
      <c r="B24" s="45"/>
      <c r="C24" s="1"/>
      <c r="E24" s="45"/>
      <c r="F24" s="1"/>
    </row>
    <row r="25" spans="2:6" ht="21" customHeight="1" x14ac:dyDescent="0.35">
      <c r="B25" s="38" t="s">
        <v>207</v>
      </c>
      <c r="C25" s="19">
        <f>SUM(C21:C24)</f>
        <v>0</v>
      </c>
      <c r="E25" s="38" t="s">
        <v>36</v>
      </c>
      <c r="F25" s="19">
        <f>SUM(F21:F24)</f>
        <v>1200</v>
      </c>
    </row>
    <row r="27" spans="2:6" ht="21" customHeight="1" x14ac:dyDescent="0.35">
      <c r="B27" s="38" t="s">
        <v>128</v>
      </c>
      <c r="C27" s="11"/>
      <c r="E27" s="214" t="s">
        <v>227</v>
      </c>
      <c r="F27" s="215"/>
    </row>
    <row r="28" spans="2:6" ht="21" customHeight="1" x14ac:dyDescent="0.35">
      <c r="B28" s="16"/>
      <c r="C28" s="11"/>
      <c r="E28" s="216"/>
      <c r="F28" s="217"/>
    </row>
    <row r="29" spans="2:6" ht="21" customHeight="1" x14ac:dyDescent="0.35">
      <c r="B29" s="38" t="s">
        <v>12</v>
      </c>
      <c r="C29" s="80">
        <f>IFERROR(($C$6/$C$7*$C$17*$C$7*$C$5*12)+($C10*$C$5*$C$6*12),0)</f>
        <v>5111.9999999999991</v>
      </c>
    </row>
    <row r="30" spans="2:6" ht="21" customHeight="1" x14ac:dyDescent="0.35">
      <c r="B30" s="38" t="s">
        <v>13</v>
      </c>
      <c r="C30" s="80">
        <f>IFERROR(($C$6/$C$7*$F$17*$C$7*$C$5*12)+($C11*$C$5*$C$6*12),0)</f>
        <v>4464</v>
      </c>
    </row>
    <row r="31" spans="2:6" ht="21" customHeight="1" x14ac:dyDescent="0.35">
      <c r="B31" s="38" t="s">
        <v>14</v>
      </c>
      <c r="C31" s="80">
        <f>IFERROR($C12*$C$5*$C$6*12,0)</f>
        <v>0</v>
      </c>
    </row>
    <row r="32" spans="2:6" ht="21" customHeight="1" x14ac:dyDescent="0.35">
      <c r="B32" s="38" t="s">
        <v>25</v>
      </c>
      <c r="C32" s="80">
        <f>IFERROR($C13*$C$5*$C$6*12,0)</f>
        <v>0</v>
      </c>
    </row>
  </sheetData>
  <sheetProtection selectLockedCells="1"/>
  <mergeCells count="4">
    <mergeCell ref="B15:F15"/>
    <mergeCell ref="E10:F13"/>
    <mergeCell ref="E27:F28"/>
    <mergeCell ref="B2:C2"/>
  </mergeCells>
  <pageMargins left="0.7" right="0.7" top="0.75" bottom="0.75" header="0.3" footer="0.3"/>
  <pageSetup paperSize="9"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dimension ref="A1:H36"/>
  <sheetViews>
    <sheetView zoomScale="90" zoomScaleNormal="90" workbookViewId="0">
      <selection activeCell="C4" sqref="C4"/>
    </sheetView>
  </sheetViews>
  <sheetFormatPr defaultColWidth="9.08984375" defaultRowHeight="21" customHeight="1" x14ac:dyDescent="0.35"/>
  <cols>
    <col min="1" max="1" width="9.08984375" style="1"/>
    <col min="2" max="2" width="36.90625" style="1" customWidth="1"/>
    <col min="3" max="3" width="23" style="1" customWidth="1"/>
    <col min="4" max="4" width="9.08984375" style="1"/>
    <col min="5" max="5" width="35.54296875" style="1" bestFit="1" customWidth="1"/>
    <col min="6" max="6" width="25.6328125" style="1" customWidth="1"/>
    <col min="7" max="7" width="29.08984375" style="1" bestFit="1" customWidth="1"/>
    <col min="8" max="8" width="32.453125" style="1" bestFit="1" customWidth="1"/>
    <col min="9" max="16384" width="9.08984375" style="1"/>
  </cols>
  <sheetData>
    <row r="1" spans="1:8" ht="21" customHeight="1" x14ac:dyDescent="0.35">
      <c r="A1" s="33"/>
    </row>
    <row r="2" spans="1:8" ht="21" customHeight="1" x14ac:dyDescent="0.35">
      <c r="A2" s="33"/>
      <c r="B2" s="198" t="s">
        <v>14</v>
      </c>
      <c r="C2" s="198"/>
    </row>
    <row r="3" spans="1:8" ht="21" customHeight="1" x14ac:dyDescent="0.35">
      <c r="A3" s="33"/>
      <c r="B3" s="38" t="s">
        <v>243</v>
      </c>
      <c r="C3" s="46">
        <v>43739</v>
      </c>
    </row>
    <row r="4" spans="1:8" ht="21" customHeight="1" x14ac:dyDescent="0.35">
      <c r="A4" s="33"/>
      <c r="B4" s="38" t="s">
        <v>61</v>
      </c>
      <c r="C4" s="23">
        <v>6</v>
      </c>
    </row>
    <row r="5" spans="1:8" ht="21" customHeight="1" x14ac:dyDescent="0.35">
      <c r="A5" s="33"/>
      <c r="B5" s="18" t="s">
        <v>17</v>
      </c>
      <c r="C5" s="23">
        <v>1</v>
      </c>
      <c r="E5" s="221" t="s">
        <v>266</v>
      </c>
      <c r="F5" s="221"/>
    </row>
    <row r="6" spans="1:8" ht="21" customHeight="1" x14ac:dyDescent="0.35">
      <c r="A6" s="33"/>
      <c r="B6" s="18" t="s">
        <v>18</v>
      </c>
      <c r="C6" s="23">
        <v>2</v>
      </c>
    </row>
    <row r="7" spans="1:8" ht="21" customHeight="1" x14ac:dyDescent="0.35">
      <c r="A7" s="33"/>
      <c r="B7" s="18" t="s">
        <v>87</v>
      </c>
      <c r="C7" s="180">
        <v>22</v>
      </c>
      <c r="E7" s="18" t="s">
        <v>131</v>
      </c>
      <c r="F7" s="70" t="s">
        <v>132</v>
      </c>
      <c r="G7" s="70" t="s">
        <v>138</v>
      </c>
      <c r="H7" s="70" t="s">
        <v>139</v>
      </c>
    </row>
    <row r="8" spans="1:8" ht="21" customHeight="1" x14ac:dyDescent="0.35">
      <c r="A8" s="33"/>
      <c r="B8" s="33"/>
      <c r="C8" s="33"/>
      <c r="D8" s="33"/>
      <c r="E8" s="129" t="s">
        <v>275</v>
      </c>
      <c r="F8" s="130">
        <v>-4</v>
      </c>
      <c r="G8" s="130">
        <v>4</v>
      </c>
      <c r="H8" s="130">
        <v>0</v>
      </c>
    </row>
    <row r="9" spans="1:8" ht="21" customHeight="1" x14ac:dyDescent="0.35">
      <c r="A9" s="33"/>
      <c r="B9" s="18" t="s">
        <v>88</v>
      </c>
      <c r="C9" s="64">
        <f>(C6-C5)*2080*C7</f>
        <v>45760</v>
      </c>
      <c r="E9" s="116" t="s">
        <v>291</v>
      </c>
      <c r="F9" s="81">
        <f>-G9*0.8</f>
        <v>-29.538461538461537</v>
      </c>
      <c r="G9" s="81">
        <f>C10/52/60</f>
        <v>36.92307692307692</v>
      </c>
      <c r="H9" s="81"/>
    </row>
    <row r="10" spans="1:8" ht="21" customHeight="1" x14ac:dyDescent="0.35">
      <c r="A10" s="33"/>
      <c r="B10" s="18" t="s">
        <v>290</v>
      </c>
      <c r="C10" s="64">
        <f>(C6-C5)*Annual_FTE_hours*60</f>
        <v>115200</v>
      </c>
      <c r="E10" s="116"/>
      <c r="F10" s="81"/>
      <c r="G10" s="81"/>
      <c r="H10" s="81"/>
    </row>
    <row r="11" spans="1:8" ht="21" customHeight="1" x14ac:dyDescent="0.35">
      <c r="A11" s="33"/>
      <c r="E11" s="32"/>
      <c r="F11" s="81"/>
      <c r="G11" s="81"/>
      <c r="H11" s="81"/>
    </row>
    <row r="12" spans="1:8" ht="21" customHeight="1" x14ac:dyDescent="0.35">
      <c r="B12" s="115" t="s">
        <v>66</v>
      </c>
      <c r="E12" s="32"/>
      <c r="F12" s="81"/>
      <c r="G12" s="81"/>
      <c r="H12" s="81"/>
    </row>
    <row r="13" spans="1:8" ht="21" customHeight="1" x14ac:dyDescent="0.35">
      <c r="B13" s="30" t="s">
        <v>38</v>
      </c>
      <c r="C13" s="31" t="s">
        <v>39</v>
      </c>
      <c r="E13" s="32"/>
      <c r="F13" s="81"/>
      <c r="G13" s="81"/>
      <c r="H13" s="81"/>
    </row>
    <row r="14" spans="1:8" ht="21" customHeight="1" x14ac:dyDescent="0.35">
      <c r="B14" s="116"/>
      <c r="C14" s="112"/>
      <c r="E14" s="32"/>
      <c r="F14" s="81"/>
      <c r="G14" s="81"/>
      <c r="H14" s="81"/>
    </row>
    <row r="15" spans="1:8" ht="21" customHeight="1" x14ac:dyDescent="0.35">
      <c r="B15" s="32"/>
      <c r="C15" s="27"/>
      <c r="E15" s="32"/>
      <c r="F15" s="81"/>
      <c r="G15" s="81"/>
      <c r="H15" s="81"/>
    </row>
    <row r="16" spans="1:8" ht="21" customHeight="1" x14ac:dyDescent="0.35">
      <c r="B16" s="32"/>
      <c r="C16" s="27"/>
      <c r="E16" s="32"/>
      <c r="F16" s="81"/>
      <c r="G16" s="81"/>
      <c r="H16" s="81"/>
    </row>
    <row r="17" spans="2:8" ht="21" customHeight="1" x14ac:dyDescent="0.35">
      <c r="E17" s="32"/>
      <c r="F17" s="81"/>
      <c r="G17" s="81"/>
      <c r="H17" s="81"/>
    </row>
    <row r="18" spans="2:8" ht="21" customHeight="1" x14ac:dyDescent="0.35">
      <c r="B18" s="38" t="s">
        <v>207</v>
      </c>
      <c r="C18" s="19">
        <f>SUM(C14:C17)</f>
        <v>0</v>
      </c>
      <c r="E18" s="32"/>
      <c r="F18" s="81"/>
      <c r="G18" s="81"/>
      <c r="H18" s="81"/>
    </row>
    <row r="19" spans="2:8" ht="21" customHeight="1" x14ac:dyDescent="0.35">
      <c r="E19" s="32"/>
      <c r="F19" s="81"/>
      <c r="G19" s="81"/>
      <c r="H19" s="81"/>
    </row>
    <row r="20" spans="2:8" ht="21" customHeight="1" x14ac:dyDescent="0.35">
      <c r="B20" s="41" t="s">
        <v>67</v>
      </c>
      <c r="C20" s="5"/>
      <c r="E20" s="32"/>
      <c r="F20" s="81"/>
      <c r="G20" s="81"/>
      <c r="H20" s="81"/>
    </row>
    <row r="21" spans="2:8" ht="21" customHeight="1" x14ac:dyDescent="0.35">
      <c r="B21" s="43" t="s">
        <v>38</v>
      </c>
      <c r="C21" s="31" t="s">
        <v>39</v>
      </c>
      <c r="E21" s="32"/>
      <c r="F21" s="81"/>
      <c r="G21" s="81"/>
      <c r="H21" s="81"/>
    </row>
    <row r="22" spans="2:8" ht="21" customHeight="1" x14ac:dyDescent="0.35">
      <c r="B22" s="44"/>
      <c r="C22" s="27"/>
      <c r="E22" s="32"/>
      <c r="F22" s="81"/>
      <c r="G22" s="81"/>
      <c r="H22" s="81"/>
    </row>
    <row r="23" spans="2:8" ht="21" customHeight="1" x14ac:dyDescent="0.35">
      <c r="B23" s="44"/>
      <c r="C23" s="27"/>
      <c r="E23" s="32"/>
      <c r="F23" s="81"/>
      <c r="G23" s="81"/>
      <c r="H23" s="81"/>
    </row>
    <row r="24" spans="2:8" ht="21" customHeight="1" x14ac:dyDescent="0.35">
      <c r="B24" s="44"/>
      <c r="C24" s="27"/>
      <c r="E24" s="32"/>
      <c r="F24" s="81"/>
      <c r="G24" s="81"/>
      <c r="H24" s="81"/>
    </row>
    <row r="25" spans="2:8" ht="21" customHeight="1" x14ac:dyDescent="0.35">
      <c r="B25" s="45"/>
    </row>
    <row r="26" spans="2:8" ht="21" customHeight="1" x14ac:dyDescent="0.35">
      <c r="B26" s="38" t="s">
        <v>36</v>
      </c>
      <c r="C26" s="19">
        <f>SUM(C22:C25)</f>
        <v>0</v>
      </c>
      <c r="E26" s="18" t="s">
        <v>133</v>
      </c>
      <c r="F26" s="82">
        <f>SUM(F9:F25)</f>
        <v>-29.538461538461537</v>
      </c>
      <c r="G26" s="82">
        <f>SUM(G9:G25)</f>
        <v>36.92307692307692</v>
      </c>
      <c r="H26" s="82">
        <f>SUM(H9:H25)</f>
        <v>0</v>
      </c>
    </row>
    <row r="27" spans="2:8" ht="21" customHeight="1" x14ac:dyDescent="0.35">
      <c r="E27" s="18" t="s">
        <v>29</v>
      </c>
      <c r="F27" s="83">
        <f>F26*52*60</f>
        <v>-92160</v>
      </c>
      <c r="G27" s="83">
        <f>G26*52*60</f>
        <v>115199.99999999999</v>
      </c>
      <c r="H27" s="83">
        <f>H26*52*60</f>
        <v>0</v>
      </c>
    </row>
    <row r="28" spans="2:8" ht="21" customHeight="1" x14ac:dyDescent="0.35">
      <c r="B28" s="214" t="s">
        <v>227</v>
      </c>
      <c r="C28" s="215"/>
    </row>
    <row r="29" spans="2:8" ht="21" customHeight="1" x14ac:dyDescent="0.35">
      <c r="B29" s="216"/>
      <c r="C29" s="217"/>
      <c r="G29" s="220" t="str">
        <f>IF(G27=C10,"Allocation = new capacity",IF(G27&gt;C10,"Allocation is greater than new capacity","Allocation is less than new capacity"))</f>
        <v>Allocation = new capacity</v>
      </c>
    </row>
    <row r="30" spans="2:8" ht="21" customHeight="1" x14ac:dyDescent="0.35">
      <c r="G30" s="220"/>
    </row>
    <row r="31" spans="2:8" ht="21" customHeight="1" x14ac:dyDescent="0.35">
      <c r="B31" s="18" t="s">
        <v>134</v>
      </c>
      <c r="C31" s="83">
        <f>-C10</f>
        <v>-115200</v>
      </c>
    </row>
    <row r="32" spans="2:8" ht="21" customHeight="1" x14ac:dyDescent="0.35">
      <c r="B32" s="18" t="s">
        <v>135</v>
      </c>
      <c r="C32" s="83">
        <f>G27</f>
        <v>115199.99999999999</v>
      </c>
    </row>
    <row r="33" spans="1:5" ht="21" customHeight="1" x14ac:dyDescent="0.35">
      <c r="B33" s="18" t="s">
        <v>136</v>
      </c>
      <c r="C33" s="83">
        <f>SUM(C31:C32)</f>
        <v>0</v>
      </c>
    </row>
    <row r="34" spans="1:5" ht="21" customHeight="1" x14ac:dyDescent="0.35">
      <c r="B34" s="4"/>
    </row>
    <row r="35" spans="1:5" ht="21" customHeight="1" x14ac:dyDescent="0.35">
      <c r="B35" s="18" t="s">
        <v>137</v>
      </c>
      <c r="C35" s="83">
        <f>F27</f>
        <v>-92160</v>
      </c>
    </row>
    <row r="36" spans="1:5" ht="21" customHeight="1" x14ac:dyDescent="0.35">
      <c r="A36" s="182"/>
      <c r="B36" s="18" t="s">
        <v>305</v>
      </c>
      <c r="C36" s="83">
        <f>-C35/Nurse_Consult_Length*Average_Nurse_Revenue</f>
        <v>6144</v>
      </c>
      <c r="D36" s="183"/>
      <c r="E36" s="182"/>
    </row>
  </sheetData>
  <sheetProtection selectLockedCells="1"/>
  <mergeCells count="4">
    <mergeCell ref="E5:F5"/>
    <mergeCell ref="G29:G30"/>
    <mergeCell ref="B28:C29"/>
    <mergeCell ref="B2:C2"/>
  </mergeCells>
  <conditionalFormatting sqref="G29:G30">
    <cfRule type="expression" dxfId="0" priority="1">
      <formula>$G$27&gt;$C$10</formula>
    </cfRule>
  </conditionalFormatting>
  <pageMargins left="0.7" right="0.7" top="0.75" bottom="0.75" header="0.3" footer="0.3"/>
  <pageSetup paperSize="9" orientation="portrait"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dimension ref="A2:J35"/>
  <sheetViews>
    <sheetView zoomScale="105" zoomScaleNormal="105" workbookViewId="0">
      <selection activeCell="C3" sqref="C3"/>
    </sheetView>
  </sheetViews>
  <sheetFormatPr defaultColWidth="9.08984375" defaultRowHeight="21" customHeight="1" x14ac:dyDescent="0.35"/>
  <cols>
    <col min="1" max="1" width="5.08984375" style="3" bestFit="1" customWidth="1"/>
    <col min="2" max="2" width="53.90625" style="3" customWidth="1"/>
    <col min="3" max="3" width="15.36328125" style="3" customWidth="1"/>
    <col min="4" max="4" width="6" style="3" customWidth="1"/>
    <col min="5" max="6" width="25" style="3" customWidth="1"/>
    <col min="7" max="7" width="27.08984375" style="3" bestFit="1" customWidth="1"/>
    <col min="8" max="8" width="25" style="3" customWidth="1"/>
    <col min="9" max="9" width="25" style="5" customWidth="1"/>
    <col min="10" max="10" width="25" style="3" customWidth="1"/>
    <col min="11" max="16384" width="9.08984375" style="3"/>
  </cols>
  <sheetData>
    <row r="2" spans="1:10" ht="21" customHeight="1" x14ac:dyDescent="0.35">
      <c r="A2" s="33"/>
      <c r="B2" s="18" t="s">
        <v>92</v>
      </c>
      <c r="C2" s="55">
        <f>Enrolled_patients</f>
        <v>10000</v>
      </c>
      <c r="E2" s="20"/>
      <c r="F2" s="20"/>
    </row>
    <row r="3" spans="1:10" ht="21" customHeight="1" x14ac:dyDescent="0.35">
      <c r="B3" s="18" t="s">
        <v>329</v>
      </c>
      <c r="C3" s="170">
        <v>7000</v>
      </c>
      <c r="E3" s="36" t="s">
        <v>95</v>
      </c>
      <c r="F3" s="36" t="s">
        <v>96</v>
      </c>
      <c r="G3" s="36" t="s">
        <v>97</v>
      </c>
      <c r="H3" s="36" t="s">
        <v>12</v>
      </c>
      <c r="I3" s="36" t="s">
        <v>13</v>
      </c>
      <c r="J3" s="36" t="s">
        <v>25</v>
      </c>
    </row>
    <row r="4" spans="1:10" ht="21" customHeight="1" x14ac:dyDescent="0.35">
      <c r="B4" s="18" t="s">
        <v>267</v>
      </c>
      <c r="C4" s="173">
        <v>0.1</v>
      </c>
      <c r="E4" s="36">
        <v>2500</v>
      </c>
      <c r="F4" s="66">
        <v>0.2</v>
      </c>
      <c r="G4" s="36" t="str">
        <f>E4&amp;F4</f>
        <v>25000.2</v>
      </c>
      <c r="H4" s="67">
        <v>3.4000000000000002E-2</v>
      </c>
      <c r="I4" s="67">
        <v>-0.02</v>
      </c>
      <c r="J4" s="67">
        <v>-0.20799999999999999</v>
      </c>
    </row>
    <row r="5" spans="1:10" ht="21" customHeight="1" x14ac:dyDescent="0.35">
      <c r="B5" s="18" t="s">
        <v>268</v>
      </c>
      <c r="C5" s="24">
        <v>0.4</v>
      </c>
      <c r="D5" s="196"/>
      <c r="E5" s="36">
        <v>2500</v>
      </c>
      <c r="F5" s="66">
        <v>0.4</v>
      </c>
      <c r="G5" s="36" t="str">
        <f t="shared" ref="G5:G12" si="0">E5&amp;F5</f>
        <v>25000.4</v>
      </c>
      <c r="H5" s="67">
        <v>6.9000000000000006E-2</v>
      </c>
      <c r="I5" s="67">
        <v>-0.04</v>
      </c>
      <c r="J5" s="67">
        <v>-0.41699999999999998</v>
      </c>
    </row>
    <row r="6" spans="1:10" ht="21" customHeight="1" x14ac:dyDescent="0.35">
      <c r="E6" s="36">
        <v>2500</v>
      </c>
      <c r="F6" s="66">
        <v>0.8</v>
      </c>
      <c r="G6" s="36" t="str">
        <f t="shared" si="0"/>
        <v>25000.8</v>
      </c>
      <c r="H6" s="67">
        <v>0.13800000000000001</v>
      </c>
      <c r="I6" s="67">
        <v>-0.08</v>
      </c>
      <c r="J6" s="67">
        <v>-0.83299999999999996</v>
      </c>
    </row>
    <row r="7" spans="1:10" ht="21" customHeight="1" x14ac:dyDescent="0.35">
      <c r="B7" s="18" t="s">
        <v>93</v>
      </c>
      <c r="C7" s="55">
        <f>IF($C$2&gt;=(E12+E9)/2,E12,IF($C$2&gt;=(E9+E6)/2,E9,E6))</f>
        <v>10000</v>
      </c>
      <c r="E7" s="36">
        <v>5000</v>
      </c>
      <c r="F7" s="66">
        <v>0.2</v>
      </c>
      <c r="G7" s="36" t="str">
        <f t="shared" si="0"/>
        <v>50000.2</v>
      </c>
      <c r="H7" s="67">
        <v>6.9000000000000006E-2</v>
      </c>
      <c r="I7" s="67">
        <v>-0.04</v>
      </c>
      <c r="J7" s="67">
        <v>-0.41699999999999998</v>
      </c>
    </row>
    <row r="8" spans="1:10" ht="21" customHeight="1" x14ac:dyDescent="0.35">
      <c r="B8" s="18" t="s">
        <v>94</v>
      </c>
      <c r="C8" s="65">
        <f>IF($C$5&gt;=(F12+F11)/2,F12,IF($C$5&gt;=(F11+F10)/2,F11,F10))</f>
        <v>0.4</v>
      </c>
      <c r="E8" s="36">
        <v>5000</v>
      </c>
      <c r="F8" s="66">
        <v>0.4</v>
      </c>
      <c r="G8" s="36" t="str">
        <f t="shared" si="0"/>
        <v>50000.4</v>
      </c>
      <c r="H8" s="67">
        <v>0.13800000000000001</v>
      </c>
      <c r="I8" s="67">
        <v>-0.08</v>
      </c>
      <c r="J8" s="67">
        <v>-0.83299999999999996</v>
      </c>
    </row>
    <row r="9" spans="1:10" ht="21" customHeight="1" x14ac:dyDescent="0.35">
      <c r="E9" s="36">
        <v>5000</v>
      </c>
      <c r="F9" s="66">
        <v>0.8</v>
      </c>
      <c r="G9" s="36" t="str">
        <f t="shared" si="0"/>
        <v>50000.8</v>
      </c>
      <c r="H9" s="67">
        <v>0.27500000000000002</v>
      </c>
      <c r="I9" s="67">
        <v>-0.161</v>
      </c>
      <c r="J9" s="67">
        <v>-1.6659999999999999</v>
      </c>
    </row>
    <row r="10" spans="1:10" ht="21" customHeight="1" x14ac:dyDescent="0.35">
      <c r="B10" s="18" t="s">
        <v>243</v>
      </c>
      <c r="C10" s="125">
        <v>43678</v>
      </c>
      <c r="E10" s="36">
        <v>10000</v>
      </c>
      <c r="F10" s="66">
        <v>0.2</v>
      </c>
      <c r="G10" s="36" t="str">
        <f t="shared" si="0"/>
        <v>100000.2</v>
      </c>
      <c r="H10" s="67">
        <v>0.13800000000000001</v>
      </c>
      <c r="I10" s="67">
        <v>-0.08</v>
      </c>
      <c r="J10" s="67">
        <v>-0.83299999999999996</v>
      </c>
    </row>
    <row r="11" spans="1:10" ht="21" customHeight="1" x14ac:dyDescent="0.35">
      <c r="B11" s="18" t="s">
        <v>269</v>
      </c>
      <c r="C11" s="23">
        <v>36</v>
      </c>
      <c r="E11" s="36">
        <v>10000</v>
      </c>
      <c r="F11" s="66">
        <v>0.4</v>
      </c>
      <c r="G11" s="36" t="str">
        <f t="shared" si="0"/>
        <v>100000.4</v>
      </c>
      <c r="H11" s="67">
        <v>0.27500000000000002</v>
      </c>
      <c r="I11" s="67">
        <v>-0.161</v>
      </c>
      <c r="J11" s="67">
        <v>-1.6659999999999999</v>
      </c>
    </row>
    <row r="12" spans="1:10" ht="21" customHeight="1" x14ac:dyDescent="0.35">
      <c r="E12" s="36">
        <v>10000</v>
      </c>
      <c r="F12" s="66">
        <v>0.8</v>
      </c>
      <c r="G12" s="36" t="str">
        <f t="shared" si="0"/>
        <v>100000.8</v>
      </c>
      <c r="H12" s="67">
        <v>0.55000000000000004</v>
      </c>
      <c r="I12" s="67">
        <v>-0.32100000000000001</v>
      </c>
      <c r="J12" s="67">
        <v>-3.3319999999999999</v>
      </c>
    </row>
    <row r="14" spans="1:10" ht="21" customHeight="1" x14ac:dyDescent="0.35">
      <c r="B14" s="18" t="s">
        <v>200</v>
      </c>
      <c r="C14" s="38"/>
      <c r="D14" s="38"/>
      <c r="E14" s="38"/>
      <c r="H14" s="36" t="s">
        <v>12</v>
      </c>
      <c r="I14" s="36" t="s">
        <v>13</v>
      </c>
      <c r="J14" s="36" t="s">
        <v>25</v>
      </c>
    </row>
    <row r="15" spans="1:10" ht="21" customHeight="1" x14ac:dyDescent="0.35">
      <c r="B15" s="222" t="s">
        <v>198</v>
      </c>
      <c r="C15" s="223"/>
      <c r="D15" s="223"/>
      <c r="E15" s="224"/>
      <c r="G15" s="18" t="s">
        <v>98</v>
      </c>
      <c r="H15" s="67">
        <f>INDEX($G$3:$J$12,MATCH($C7&amp;$C8,$G$3:$G$12,0),MATCH(H$14,$G$3:$J$3))</f>
        <v>0.27500000000000002</v>
      </c>
      <c r="I15" s="67">
        <f>INDEX($G$3:$J$12,MATCH($C7&amp;$C8,$G$3:$G$12,0),MATCH(I$14,$G$3:$J$3))</f>
        <v>-0.161</v>
      </c>
      <c r="J15" s="67">
        <f>INDEX($G$3:$J$12,MATCH($C7&amp;$C8,$G$3:$G$12,0),MATCH(J$14,$G$3:$J$3,0))</f>
        <v>-1.6659999999999999</v>
      </c>
    </row>
    <row r="16" spans="1:10" ht="21" customHeight="1" x14ac:dyDescent="0.35">
      <c r="B16" s="18" t="s">
        <v>199</v>
      </c>
      <c r="C16" s="38"/>
      <c r="D16" s="38"/>
      <c r="E16" s="38"/>
      <c r="G16" s="18" t="s">
        <v>90</v>
      </c>
      <c r="H16" s="68">
        <f>H15/$C$7</f>
        <v>2.7500000000000001E-5</v>
      </c>
      <c r="I16" s="68">
        <f>I15/$C$7</f>
        <v>-1.6100000000000002E-5</v>
      </c>
      <c r="J16" s="68">
        <f>J15/$C$7</f>
        <v>-1.6659999999999998E-4</v>
      </c>
    </row>
    <row r="17" spans="2:10" ht="21" customHeight="1" x14ac:dyDescent="0.35">
      <c r="G17" s="18" t="s">
        <v>91</v>
      </c>
      <c r="H17" s="68">
        <f>H16/$C$8</f>
        <v>6.8750000000000004E-5</v>
      </c>
      <c r="I17" s="68">
        <f>I16/$C$8</f>
        <v>-4.0250000000000003E-5</v>
      </c>
      <c r="J17" s="68">
        <f>J16/$C$8</f>
        <v>-4.1649999999999993E-4</v>
      </c>
    </row>
    <row r="18" spans="2:10" ht="21" customHeight="1" x14ac:dyDescent="0.35">
      <c r="B18" s="115" t="s">
        <v>66</v>
      </c>
      <c r="C18" s="1"/>
    </row>
    <row r="19" spans="2:10" ht="21" customHeight="1" x14ac:dyDescent="0.35">
      <c r="B19" s="30" t="s">
        <v>38</v>
      </c>
      <c r="C19" s="31" t="s">
        <v>39</v>
      </c>
      <c r="G19" s="18" t="s">
        <v>99</v>
      </c>
      <c r="H19" s="67">
        <f>H$17*$C$2*($C$5-$C$4)</f>
        <v>0.20625000000000004</v>
      </c>
      <c r="I19" s="67">
        <f>I$17*$C$2*($C$5-$C$4)</f>
        <v>-0.12075000000000002</v>
      </c>
      <c r="J19" s="67">
        <f>J$17*$C$2*($C$5-$C$4)</f>
        <v>-1.2494999999999998</v>
      </c>
    </row>
    <row r="20" spans="2:10" ht="21" customHeight="1" x14ac:dyDescent="0.35">
      <c r="B20" s="44"/>
      <c r="C20" s="27"/>
      <c r="G20" s="18" t="s">
        <v>101</v>
      </c>
      <c r="H20" s="131">
        <f>H19*(52*40)*60</f>
        <v>25740.000000000007</v>
      </c>
      <c r="I20" s="131">
        <f>I19*(52*40)*60</f>
        <v>-15069.600000000004</v>
      </c>
      <c r="J20" s="131">
        <f>J19*(52*40)*60</f>
        <v>-155937.59999999998</v>
      </c>
    </row>
    <row r="21" spans="2:10" ht="21" customHeight="1" x14ac:dyDescent="0.35">
      <c r="B21" s="44"/>
      <c r="C21" s="27"/>
      <c r="G21" s="18" t="s">
        <v>306</v>
      </c>
      <c r="H21" s="83">
        <f>-H20/GP_Consult_Length*Average_GP_Revenue</f>
        <v>-20592.000000000007</v>
      </c>
      <c r="I21" s="83">
        <f>-I20/Nurse_Consult_Length*Average_Nurse_Revenue</f>
        <v>1004.6400000000002</v>
      </c>
    </row>
    <row r="22" spans="2:10" ht="21" customHeight="1" x14ac:dyDescent="0.35">
      <c r="B22" s="44"/>
      <c r="C22" s="27"/>
    </row>
    <row r="23" spans="2:10" ht="21" customHeight="1" x14ac:dyDescent="0.35">
      <c r="B23" s="45"/>
      <c r="C23" s="1"/>
    </row>
    <row r="24" spans="2:10" ht="21" customHeight="1" x14ac:dyDescent="0.35">
      <c r="B24" s="18" t="s">
        <v>207</v>
      </c>
      <c r="C24" s="19">
        <f>SUM(C20:C23)</f>
        <v>0</v>
      </c>
      <c r="D24" s="7"/>
    </row>
    <row r="25" spans="2:10" ht="21" customHeight="1" x14ac:dyDescent="0.35">
      <c r="D25" s="7"/>
    </row>
    <row r="26" spans="2:10" ht="21" customHeight="1" x14ac:dyDescent="0.35">
      <c r="B26" s="115" t="s">
        <v>67</v>
      </c>
      <c r="C26" s="5"/>
      <c r="D26" s="7"/>
    </row>
    <row r="27" spans="2:10" ht="21" customHeight="1" x14ac:dyDescent="0.35">
      <c r="B27" s="30" t="s">
        <v>38</v>
      </c>
      <c r="C27" s="31" t="s">
        <v>39</v>
      </c>
      <c r="D27" s="7"/>
    </row>
    <row r="28" spans="2:10" ht="21" customHeight="1" x14ac:dyDescent="0.35">
      <c r="B28" s="111"/>
      <c r="C28" s="112"/>
      <c r="D28" s="7"/>
    </row>
    <row r="29" spans="2:10" ht="21" customHeight="1" x14ac:dyDescent="0.35">
      <c r="B29" s="44"/>
      <c r="C29" s="27"/>
      <c r="D29" s="7"/>
    </row>
    <row r="30" spans="2:10" ht="21" customHeight="1" x14ac:dyDescent="0.35">
      <c r="B30" s="44"/>
      <c r="C30" s="27"/>
      <c r="D30" s="7"/>
    </row>
    <row r="31" spans="2:10" ht="21" customHeight="1" x14ac:dyDescent="0.35">
      <c r="B31" s="45"/>
      <c r="C31" s="1"/>
    </row>
    <row r="32" spans="2:10" ht="21" customHeight="1" x14ac:dyDescent="0.35">
      <c r="B32" s="18" t="s">
        <v>36</v>
      </c>
      <c r="C32" s="19">
        <f>SUM(C28:C31)</f>
        <v>0</v>
      </c>
    </row>
    <row r="34" spans="2:3" ht="21" customHeight="1" x14ac:dyDescent="0.35">
      <c r="B34" s="214" t="s">
        <v>227</v>
      </c>
      <c r="C34" s="215"/>
    </row>
    <row r="35" spans="2:3" ht="21" customHeight="1" x14ac:dyDescent="0.35">
      <c r="B35" s="216"/>
      <c r="C35" s="217"/>
    </row>
  </sheetData>
  <sheetProtection selectLockedCells="1"/>
  <mergeCells count="2">
    <mergeCell ref="B15:E15"/>
    <mergeCell ref="B34:C35"/>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7F4CE4520D6F3469B020C8501506770" ma:contentTypeVersion="14" ma:contentTypeDescription="Create a new document." ma:contentTypeScope="" ma:versionID="6a3e4f530e77c805d1639df6dd2c4ed5">
  <xsd:schema xmlns:xsd="http://www.w3.org/2001/XMLSchema" xmlns:xs="http://www.w3.org/2001/XMLSchema" xmlns:p="http://schemas.microsoft.com/office/2006/metadata/properties" xmlns:ns1="http://schemas.microsoft.com/sharepoint/v3" xmlns:ns2="662774e8-ceb8-4889-889a-aa8b0aa1d1db" xmlns:ns3="9f0e7999-c8ed-4616-b0a4-fece3b66517b" targetNamespace="http://schemas.microsoft.com/office/2006/metadata/properties" ma:root="true" ma:fieldsID="b2e7dda327e4f8cabafd4ec8c9121ffe" ns1:_="" ns2:_="" ns3:_="">
    <xsd:import namespace="http://schemas.microsoft.com/sharepoint/v3"/>
    <xsd:import namespace="662774e8-ceb8-4889-889a-aa8b0aa1d1db"/>
    <xsd:import namespace="9f0e7999-c8ed-4616-b0a4-fece3b66517b"/>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Location"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1:_ip_UnifiedCompliancePolicyProperties" minOccurs="0"/>
                <xsd:element ref="ns1:_ip_UnifiedCompliancePolicyUIAc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Unified Compliance Policy Properties" ma:hidden="true" ma:internalName="_ip_UnifiedCompliancePolicyProperties">
      <xsd:simpleType>
        <xsd:restriction base="dms:Note"/>
      </xsd:simpleType>
    </xsd:element>
    <xsd:element name="_ip_UnifiedCompliancePolicyUIAction" ma:index="21"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62774e8-ceb8-4889-889a-aa8b0aa1d1d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f0e7999-c8ed-4616-b0a4-fece3b66517b"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Props1.xml><?xml version="1.0" encoding="utf-8"?>
<ds:datastoreItem xmlns:ds="http://schemas.openxmlformats.org/officeDocument/2006/customXml" ds:itemID="{04F6C182-2DE4-4B4C-8ADC-51D72BD65A9D}"/>
</file>

<file path=customXml/itemProps2.xml><?xml version="1.0" encoding="utf-8"?>
<ds:datastoreItem xmlns:ds="http://schemas.openxmlformats.org/officeDocument/2006/customXml" ds:itemID="{39A9A06B-9BE8-43DD-8DC2-E05F132900AA}">
  <ds:schemaRefs>
    <ds:schemaRef ds:uri="http://schemas.microsoft.com/sharepoint/v3/contenttype/forms"/>
  </ds:schemaRefs>
</ds:datastoreItem>
</file>

<file path=customXml/itemProps3.xml><?xml version="1.0" encoding="utf-8"?>
<ds:datastoreItem xmlns:ds="http://schemas.openxmlformats.org/officeDocument/2006/customXml" ds:itemID="{F768AE65-07A4-4A8B-AF97-109FF23FDB34}">
  <ds:schemaRefs>
    <ds:schemaRef ds:uri="http://schemas.microsoft.com/office/2006/metadata/properties"/>
    <ds:schemaRef ds:uri="http://schemas.microsoft.com/sharepoint/v3"/>
    <ds:schemaRef ds:uri="http://purl.org/dc/terms/"/>
    <ds:schemaRef ds:uri="http://schemas.microsoft.com/office/2006/documentManagement/types"/>
    <ds:schemaRef ds:uri="http://schemas.microsoft.com/office/infopath/2007/PartnerControls"/>
    <ds:schemaRef ds:uri="http://schemas.openxmlformats.org/package/2006/metadata/core-properties"/>
    <ds:schemaRef ds:uri="9f0e7999-c8ed-4616-b0a4-fece3b66517b"/>
    <ds:schemaRef ds:uri="http://purl.org/dc/elements/1.1/"/>
    <ds:schemaRef ds:uri="662774e8-ceb8-4889-889a-aa8b0aa1d1db"/>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16</vt:i4>
      </vt:variant>
    </vt:vector>
  </HeadingPairs>
  <TitlesOfParts>
    <vt:vector size="30" baseType="lpstr">
      <vt:lpstr>Summary to Present</vt:lpstr>
      <vt:lpstr>Summary</vt:lpstr>
      <vt:lpstr>Projection</vt:lpstr>
      <vt:lpstr>Master Data</vt:lpstr>
      <vt:lpstr>GP Triage</vt:lpstr>
      <vt:lpstr>Huddles</vt:lpstr>
      <vt:lpstr>MDT</vt:lpstr>
      <vt:lpstr>HCA</vt:lpstr>
      <vt:lpstr>Patient Portal</vt:lpstr>
      <vt:lpstr>YOC</vt:lpstr>
      <vt:lpstr>Call Management</vt:lpstr>
      <vt:lpstr>Extended Hours</vt:lpstr>
      <vt:lpstr>Other</vt:lpstr>
      <vt:lpstr>Sheet1</vt:lpstr>
      <vt:lpstr>Admin_FTE</vt:lpstr>
      <vt:lpstr>Annual_FTE_hours</vt:lpstr>
      <vt:lpstr>Average_GP_Revenue</vt:lpstr>
      <vt:lpstr>Average_Nurse_Revenue</vt:lpstr>
      <vt:lpstr>Enrolled_patients</vt:lpstr>
      <vt:lpstr>GP_Consult_Length</vt:lpstr>
      <vt:lpstr>GP_FTE</vt:lpstr>
      <vt:lpstr>GP_phone_consult_length</vt:lpstr>
      <vt:lpstr>GP_Triage_Adoption_Rate</vt:lpstr>
      <vt:lpstr>GP_triage_Call_Length</vt:lpstr>
      <vt:lpstr>GP_triage_Session</vt:lpstr>
      <vt:lpstr>Nurse_Consult_Length</vt:lpstr>
      <vt:lpstr>Nurse_FTE</vt:lpstr>
      <vt:lpstr>PLACTIVITY</vt:lpstr>
      <vt:lpstr>PLTYPE</vt:lpstr>
      <vt:lpstr>YOC_Include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 Stewart</dc:creator>
  <cp:lastModifiedBy>Amarjit Maxwell</cp:lastModifiedBy>
  <cp:lastPrinted>2020-03-31T20:18:12Z</cp:lastPrinted>
  <dcterms:created xsi:type="dcterms:W3CDTF">2017-02-02T21:57:41Z</dcterms:created>
  <dcterms:modified xsi:type="dcterms:W3CDTF">2020-03-31T22:40:56Z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0x01010067F4CE4520D6F3469B020C8501506770</vt:lpwstr>
  </property>
</Properties>
</file>